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codeName="ThisWorkbook"/>
  <mc:AlternateContent xmlns:mc="http://schemas.openxmlformats.org/markup-compatibility/2006">
    <mc:Choice Requires="x15">
      <x15ac:absPath xmlns:x15ac="http://schemas.microsoft.com/office/spreadsheetml/2010/11/ac" url="\\55.38.4.43\communs\commun service social\Appel à Projets\APPEL A PROJET 2024\IMPRIME\imprimé EAJE\"/>
    </mc:Choice>
  </mc:AlternateContent>
  <bookViews>
    <workbookView xWindow="0" yWindow="0" windowWidth="21570" windowHeight="8010" tabRatio="764" activeTab="3"/>
  </bookViews>
  <sheets>
    <sheet name="0-ACCUEIL &amp; PARAMETRES" sheetId="10" r:id="rId1"/>
    <sheet name="1-Equipe" sheetId="12" r:id="rId2"/>
    <sheet name="2-CR synthétique EAJE PSU" sheetId="22" r:id="rId3"/>
    <sheet name="3-CR détaillé EAJE PSU" sheetId="11" r:id="rId4"/>
  </sheets>
  <externalReferences>
    <externalReference r:id="rId5"/>
  </externalReferences>
  <definedNames>
    <definedName name="Excel_BuiltIn_Print_Area" localSheetId="1">[1]CR!#REF!</definedName>
    <definedName name="Excel_BuiltIn_Print_Area" localSheetId="2">'2-CR synthétique EAJE PSU'!#REF!</definedName>
    <definedName name="Excel_BuiltIn_Print_Area" localSheetId="3">'3-CR détaillé EAJE PSU'!#REF!</definedName>
    <definedName name="Excel_BuiltIn_Print_Area">#REF!</definedName>
    <definedName name="_xlnm.Print_Area" localSheetId="2">('2-CR synthétique EAJE PSU'!$B$1:$H$97,'2-CR synthétique EAJE PSU'!$J$1:$O$83)</definedName>
    <definedName name="_xlnm.Print_Area" localSheetId="3">('3-CR détaillé EAJE PSU'!$B$1:$H$196,'3-CR détaillé EAJE PSU'!$J$1:$O$98)</definedName>
  </definedNames>
  <calcPr calcId="162913"/>
</workbook>
</file>

<file path=xl/calcChain.xml><?xml version="1.0" encoding="utf-8"?>
<calcChain xmlns="http://schemas.openxmlformats.org/spreadsheetml/2006/main">
  <c r="H1" i="11" l="1"/>
  <c r="H1" i="22"/>
  <c r="H218" i="11" l="1"/>
  <c r="G218" i="11"/>
  <c r="F218" i="11"/>
  <c r="E218" i="11"/>
  <c r="D218" i="11"/>
  <c r="H217" i="11"/>
  <c r="G217" i="11"/>
  <c r="F217" i="11"/>
  <c r="E217" i="11"/>
  <c r="D217" i="11"/>
  <c r="H215" i="11"/>
  <c r="H216" i="11" s="1"/>
  <c r="G215" i="11"/>
  <c r="G216" i="11" s="1"/>
  <c r="F215" i="11"/>
  <c r="F216" i="11" s="1"/>
  <c r="E215" i="11"/>
  <c r="E216" i="11" s="1"/>
  <c r="D215" i="11"/>
  <c r="D216" i="11" s="1"/>
  <c r="H211" i="11"/>
  <c r="H212" i="11" s="1"/>
  <c r="G211" i="11"/>
  <c r="G212" i="11" s="1"/>
  <c r="F211" i="11"/>
  <c r="F212" i="11" s="1"/>
  <c r="E211" i="11"/>
  <c r="E212" i="11" s="1"/>
  <c r="D211" i="11"/>
  <c r="D212" i="11" s="1"/>
  <c r="C211" i="11"/>
  <c r="H126" i="22" l="1"/>
  <c r="H127" i="22" s="1"/>
  <c r="G126" i="22"/>
  <c r="G127" i="22" s="1"/>
  <c r="F126" i="22"/>
  <c r="F127" i="22" s="1"/>
  <c r="E126" i="22"/>
  <c r="E127" i="22" s="1"/>
  <c r="D126" i="22"/>
  <c r="D127" i="22" s="1"/>
  <c r="H124" i="22"/>
  <c r="H125" i="22" s="1"/>
  <c r="G124" i="22"/>
  <c r="G125" i="22" s="1"/>
  <c r="F124" i="22"/>
  <c r="F125" i="22" s="1"/>
  <c r="E124" i="22"/>
  <c r="E128" i="22" s="1"/>
  <c r="D124" i="22"/>
  <c r="D125" i="22" s="1"/>
  <c r="C126" i="22"/>
  <c r="C124" i="22"/>
  <c r="H118" i="22"/>
  <c r="H119" i="22" s="1"/>
  <c r="G118" i="22"/>
  <c r="G119" i="22" s="1"/>
  <c r="F118" i="22"/>
  <c r="F119" i="22" s="1"/>
  <c r="E118" i="22"/>
  <c r="E119" i="22" s="1"/>
  <c r="D118" i="22"/>
  <c r="D119" i="22" s="1"/>
  <c r="H116" i="22"/>
  <c r="H117" i="22" s="1"/>
  <c r="G116" i="22"/>
  <c r="G117" i="22" s="1"/>
  <c r="F116" i="22"/>
  <c r="F117" i="22" s="1"/>
  <c r="E116" i="22"/>
  <c r="E117" i="22" s="1"/>
  <c r="D116" i="22"/>
  <c r="D117" i="22" s="1"/>
  <c r="H114" i="22"/>
  <c r="H115" i="22" s="1"/>
  <c r="G114" i="22"/>
  <c r="G115" i="22" s="1"/>
  <c r="F114" i="22"/>
  <c r="F115" i="22" s="1"/>
  <c r="E114" i="22"/>
  <c r="E115" i="22" s="1"/>
  <c r="D114" i="22"/>
  <c r="D115" i="22" s="1"/>
  <c r="H110" i="22"/>
  <c r="H111" i="22" s="1"/>
  <c r="G110" i="22"/>
  <c r="G111" i="22" s="1"/>
  <c r="F110" i="22"/>
  <c r="F111" i="22" s="1"/>
  <c r="E110" i="22"/>
  <c r="E111" i="22" s="1"/>
  <c r="D110" i="22"/>
  <c r="D111" i="22" s="1"/>
  <c r="C118" i="22"/>
  <c r="C119" i="22" s="1"/>
  <c r="C116" i="22"/>
  <c r="C117" i="22" s="1"/>
  <c r="C114" i="22"/>
  <c r="C110" i="22"/>
  <c r="C128" i="22" l="1"/>
  <c r="G128" i="22"/>
  <c r="G129" i="22" s="1"/>
  <c r="E129" i="22"/>
  <c r="E125" i="22"/>
  <c r="F128" i="22"/>
  <c r="D128" i="22"/>
  <c r="H128" i="22"/>
  <c r="B101" i="22"/>
  <c r="H80" i="22"/>
  <c r="H112" i="22" s="1"/>
  <c r="H113" i="22" s="1"/>
  <c r="G80" i="22"/>
  <c r="G112" i="22" s="1"/>
  <c r="G113" i="22" s="1"/>
  <c r="F80" i="22"/>
  <c r="F112" i="22" s="1"/>
  <c r="F113" i="22" s="1"/>
  <c r="E80" i="22"/>
  <c r="E112" i="22" s="1"/>
  <c r="E113" i="22" s="1"/>
  <c r="D80" i="22"/>
  <c r="D112" i="22" s="1"/>
  <c r="D113" i="22" s="1"/>
  <c r="C80" i="22"/>
  <c r="C112" i="22" s="1"/>
  <c r="H94" i="22"/>
  <c r="G94" i="22"/>
  <c r="F94" i="22"/>
  <c r="E94" i="22"/>
  <c r="D94" i="22"/>
  <c r="C94" i="22"/>
  <c r="F129" i="22" l="1"/>
  <c r="H129" i="22"/>
  <c r="D129" i="22"/>
  <c r="B149" i="22"/>
  <c r="B148" i="22"/>
  <c r="B147" i="22"/>
  <c r="H146" i="22"/>
  <c r="G146" i="22"/>
  <c r="F146" i="22"/>
  <c r="E146" i="22"/>
  <c r="D146" i="22"/>
  <c r="C146" i="22"/>
  <c r="B146" i="22"/>
  <c r="B145" i="22"/>
  <c r="B144" i="22"/>
  <c r="H143" i="22"/>
  <c r="G143" i="22"/>
  <c r="F143" i="22"/>
  <c r="E143" i="22"/>
  <c r="D143" i="22"/>
  <c r="C143" i="22"/>
  <c r="B143" i="22"/>
  <c r="B142" i="22"/>
  <c r="H141" i="22"/>
  <c r="G141" i="22"/>
  <c r="F141" i="22"/>
  <c r="E141" i="22"/>
  <c r="D141" i="22"/>
  <c r="C141" i="22"/>
  <c r="B141" i="22"/>
  <c r="B140" i="22"/>
  <c r="H139" i="22"/>
  <c r="G139" i="22"/>
  <c r="F139" i="22"/>
  <c r="E139" i="22"/>
  <c r="D139" i="22"/>
  <c r="C139" i="22"/>
  <c r="B139" i="22"/>
  <c r="C115" i="22"/>
  <c r="H104" i="22"/>
  <c r="H138" i="22" s="1"/>
  <c r="G104" i="22"/>
  <c r="G138" i="22" s="1"/>
  <c r="F104" i="22"/>
  <c r="F138" i="22" s="1"/>
  <c r="E104" i="22"/>
  <c r="E138" i="22" s="1"/>
  <c r="D104" i="22"/>
  <c r="D138" i="22" s="1"/>
  <c r="C104" i="22"/>
  <c r="C138" i="22" s="1"/>
  <c r="H103" i="22"/>
  <c r="H137" i="22" s="1"/>
  <c r="G103" i="22"/>
  <c r="G137" i="22" s="1"/>
  <c r="F103" i="22"/>
  <c r="F137" i="22" s="1"/>
  <c r="E103" i="22"/>
  <c r="E137" i="22" s="1"/>
  <c r="D103" i="22"/>
  <c r="D137" i="22" s="1"/>
  <c r="C103" i="22"/>
  <c r="C137" i="22" s="1"/>
  <c r="C113" i="22"/>
  <c r="C111" i="22"/>
  <c r="H63" i="22"/>
  <c r="G63" i="22"/>
  <c r="F63" i="22"/>
  <c r="E63" i="22"/>
  <c r="H55" i="22"/>
  <c r="D55" i="22"/>
  <c r="H50" i="22"/>
  <c r="G50" i="22"/>
  <c r="F50" i="22"/>
  <c r="E50" i="22"/>
  <c r="D50" i="22"/>
  <c r="C50" i="22"/>
  <c r="F42" i="22"/>
  <c r="F43" i="22" s="1"/>
  <c r="F44" i="22" s="1"/>
  <c r="F76" i="22" s="1"/>
  <c r="H42" i="22"/>
  <c r="H43" i="22" s="1"/>
  <c r="H44" i="22" s="1"/>
  <c r="H76" i="22" s="1"/>
  <c r="G42" i="22"/>
  <c r="G43" i="22" s="1"/>
  <c r="G44" i="22" s="1"/>
  <c r="G76" i="22" s="1"/>
  <c r="E42" i="22"/>
  <c r="E43" i="22" s="1"/>
  <c r="E44" i="22" s="1"/>
  <c r="E76" i="22" s="1"/>
  <c r="D42" i="22"/>
  <c r="D43" i="22" s="1"/>
  <c r="D44" i="22" s="1"/>
  <c r="D76" i="22" s="1"/>
  <c r="C42" i="22"/>
  <c r="H35" i="22"/>
  <c r="E35" i="22"/>
  <c r="D35" i="22"/>
  <c r="H34" i="22"/>
  <c r="G34" i="22"/>
  <c r="F34" i="22"/>
  <c r="E34" i="22"/>
  <c r="D34" i="22"/>
  <c r="C34" i="22"/>
  <c r="H32" i="22"/>
  <c r="H147" i="22" s="1"/>
  <c r="G32" i="22"/>
  <c r="G147" i="22" s="1"/>
  <c r="F32" i="22"/>
  <c r="F147" i="22" s="1"/>
  <c r="E32" i="22"/>
  <c r="E147" i="22" s="1"/>
  <c r="D32" i="22"/>
  <c r="D147" i="22" s="1"/>
  <c r="C32" i="22"/>
  <c r="C147" i="22" s="1"/>
  <c r="H25" i="22"/>
  <c r="H142" i="22" s="1"/>
  <c r="G25" i="22"/>
  <c r="G142" i="22" s="1"/>
  <c r="F25" i="22"/>
  <c r="F142" i="22" s="1"/>
  <c r="E25" i="22"/>
  <c r="E142" i="22" s="1"/>
  <c r="D25" i="22"/>
  <c r="D142" i="22" s="1"/>
  <c r="C25" i="22"/>
  <c r="C142" i="22" s="1"/>
  <c r="H24" i="22"/>
  <c r="G24" i="22"/>
  <c r="F24" i="22"/>
  <c r="E24" i="22"/>
  <c r="D24" i="22"/>
  <c r="C24" i="22"/>
  <c r="H16" i="22"/>
  <c r="H140" i="22" s="1"/>
  <c r="G16" i="22"/>
  <c r="G140" i="22" s="1"/>
  <c r="F16" i="22"/>
  <c r="F140" i="22" s="1"/>
  <c r="E16" i="22"/>
  <c r="E140" i="22" s="1"/>
  <c r="D16" i="22"/>
  <c r="D140" i="22" s="1"/>
  <c r="C16" i="22"/>
  <c r="C140" i="22" s="1"/>
  <c r="H8" i="22"/>
  <c r="G8" i="22"/>
  <c r="F8" i="22"/>
  <c r="E8" i="22"/>
  <c r="E69" i="22" s="1"/>
  <c r="D8" i="22"/>
  <c r="D69" i="22" s="1"/>
  <c r="C8" i="22"/>
  <c r="C69" i="22" s="1"/>
  <c r="B1" i="22"/>
  <c r="F27" i="22" l="1"/>
  <c r="F144" i="22" s="1"/>
  <c r="F51" i="22"/>
  <c r="F33" i="22"/>
  <c r="F148" i="22" s="1"/>
  <c r="F30" i="22"/>
  <c r="F145" i="22" s="1"/>
  <c r="F35" i="22"/>
  <c r="F149" i="22" s="1"/>
  <c r="B100" i="22"/>
  <c r="F69" i="22"/>
  <c r="F68" i="22"/>
  <c r="D27" i="22"/>
  <c r="D144" i="22" s="1"/>
  <c r="H27" i="22"/>
  <c r="H144" i="22" s="1"/>
  <c r="F28" i="22"/>
  <c r="D30" i="22"/>
  <c r="D145" i="22" s="1"/>
  <c r="H30" i="22"/>
  <c r="H145" i="22" s="1"/>
  <c r="D33" i="22"/>
  <c r="D148" i="22" s="1"/>
  <c r="H33" i="22"/>
  <c r="H148" i="22" s="1"/>
  <c r="D149" i="22"/>
  <c r="H149" i="22"/>
  <c r="D51" i="22"/>
  <c r="H51" i="22"/>
  <c r="F55" i="22"/>
  <c r="D28" i="22"/>
  <c r="H28" i="22"/>
  <c r="C68" i="22"/>
  <c r="C56" i="22"/>
  <c r="G68" i="22"/>
  <c r="G56" i="22"/>
  <c r="G69" i="22"/>
  <c r="E27" i="22"/>
  <c r="E144" i="22" s="1"/>
  <c r="C28" i="22"/>
  <c r="G28" i="22"/>
  <c r="E30" i="22"/>
  <c r="E145" i="22" s="1"/>
  <c r="E33" i="22"/>
  <c r="E148" i="22" s="1"/>
  <c r="E149" i="22"/>
  <c r="E51" i="22"/>
  <c r="E56" i="22"/>
  <c r="C125" i="22"/>
  <c r="H68" i="22"/>
  <c r="H56" i="22"/>
  <c r="H69" i="22"/>
  <c r="F56" i="22"/>
  <c r="C63" i="22"/>
  <c r="C70" i="22" s="1"/>
  <c r="C78" i="22" s="1"/>
  <c r="D68" i="22"/>
  <c r="D56" i="22"/>
  <c r="D63" i="22"/>
  <c r="C27" i="22"/>
  <c r="C144" i="22" s="1"/>
  <c r="G27" i="22"/>
  <c r="G144" i="22" s="1"/>
  <c r="E28" i="22"/>
  <c r="C30" i="22"/>
  <c r="C145" i="22" s="1"/>
  <c r="G30" i="22"/>
  <c r="G145" i="22" s="1"/>
  <c r="C33" i="22"/>
  <c r="C148" i="22" s="1"/>
  <c r="G33" i="22"/>
  <c r="G148" i="22" s="1"/>
  <c r="G51" i="22"/>
  <c r="E68" i="22"/>
  <c r="E70" i="22" s="1"/>
  <c r="E78" i="22" s="1"/>
  <c r="E55" i="22"/>
  <c r="C218" i="11"/>
  <c r="H34" i="11"/>
  <c r="G34" i="11"/>
  <c r="F34" i="11"/>
  <c r="E34" i="11"/>
  <c r="D34" i="11"/>
  <c r="D70" i="22" l="1"/>
  <c r="D78" i="22" s="1"/>
  <c r="H54" i="22"/>
  <c r="H57" i="22" s="1"/>
  <c r="D54" i="22"/>
  <c r="E54" i="22"/>
  <c r="E57" i="22" s="1"/>
  <c r="G70" i="22"/>
  <c r="G78" i="22" s="1"/>
  <c r="F70" i="22"/>
  <c r="F78" i="22" s="1"/>
  <c r="C55" i="22"/>
  <c r="C35" i="22"/>
  <c r="G55" i="22"/>
  <c r="G35" i="22"/>
  <c r="G149" i="22" s="1"/>
  <c r="H70" i="22"/>
  <c r="H78" i="22" s="1"/>
  <c r="G54" i="22"/>
  <c r="K33" i="10"/>
  <c r="L33" i="10" s="1"/>
  <c r="M33" i="10" s="1"/>
  <c r="N33" i="10" s="1"/>
  <c r="K31" i="10"/>
  <c r="L31" i="10" s="1"/>
  <c r="M31" i="10" s="1"/>
  <c r="N31" i="10" s="1"/>
  <c r="K29" i="10"/>
  <c r="L29" i="10" s="1"/>
  <c r="M29" i="10" s="1"/>
  <c r="N29" i="10" s="1"/>
  <c r="K24" i="10"/>
  <c r="K23" i="10"/>
  <c r="K22" i="10"/>
  <c r="K21" i="10"/>
  <c r="K20" i="10"/>
  <c r="K19" i="10"/>
  <c r="H58" i="22" l="1"/>
  <c r="H77" i="22" s="1"/>
  <c r="H108" i="22" s="1"/>
  <c r="H109" i="22" s="1"/>
  <c r="E58" i="22"/>
  <c r="E77" i="22" s="1"/>
  <c r="E108" i="22" s="1"/>
  <c r="D57" i="22"/>
  <c r="D58" i="22"/>
  <c r="D77" i="22" s="1"/>
  <c r="C127" i="22"/>
  <c r="C129" i="22"/>
  <c r="G58" i="22"/>
  <c r="G77" i="22" s="1"/>
  <c r="G108" i="22" s="1"/>
  <c r="C149" i="22"/>
  <c r="G57" i="22"/>
  <c r="B1" i="11"/>
  <c r="G109" i="22" l="1"/>
  <c r="E109" i="22"/>
  <c r="D108" i="22"/>
  <c r="D109" i="22" l="1"/>
  <c r="B121" i="11" l="1"/>
  <c r="B120" i="11"/>
  <c r="C1" i="12" l="1"/>
  <c r="D42" i="11"/>
  <c r="D43" i="11" s="1"/>
  <c r="F42" i="11"/>
  <c r="F43" i="11" s="1"/>
  <c r="G42" i="11"/>
  <c r="G43" i="11" s="1"/>
  <c r="H42" i="11"/>
  <c r="H43" i="11" s="1"/>
  <c r="E42" i="11"/>
  <c r="E43" i="11" s="1"/>
  <c r="D50" i="11"/>
  <c r="E50" i="11"/>
  <c r="F50" i="11"/>
  <c r="G50" i="11"/>
  <c r="H50" i="11"/>
  <c r="F63" i="11"/>
  <c r="H63" i="11"/>
  <c r="E93" i="11"/>
  <c r="D97" i="11"/>
  <c r="E97" i="11"/>
  <c r="F97" i="11"/>
  <c r="G97" i="11"/>
  <c r="H97" i="11"/>
  <c r="D101" i="11"/>
  <c r="E101" i="11"/>
  <c r="F101" i="11"/>
  <c r="G101" i="11"/>
  <c r="H101" i="11"/>
  <c r="D106" i="11"/>
  <c r="E106" i="11"/>
  <c r="F106" i="11"/>
  <c r="G106" i="11"/>
  <c r="H106" i="11"/>
  <c r="D110" i="11"/>
  <c r="E110" i="11"/>
  <c r="F110" i="11"/>
  <c r="G110" i="11"/>
  <c r="H110" i="11"/>
  <c r="D115" i="11"/>
  <c r="E115" i="11"/>
  <c r="F115" i="11"/>
  <c r="G115" i="11"/>
  <c r="H115" i="11"/>
  <c r="D134" i="11"/>
  <c r="E134" i="11"/>
  <c r="F134" i="11"/>
  <c r="G134" i="11"/>
  <c r="H134" i="11"/>
  <c r="D143" i="11"/>
  <c r="E143" i="11"/>
  <c r="F143" i="11"/>
  <c r="G143" i="11"/>
  <c r="H143" i="11"/>
  <c r="D156" i="11"/>
  <c r="E156" i="11"/>
  <c r="F156" i="11"/>
  <c r="G156" i="11"/>
  <c r="H156" i="11"/>
  <c r="D162" i="11"/>
  <c r="E162" i="11"/>
  <c r="F162" i="11"/>
  <c r="G162" i="11"/>
  <c r="H162" i="11"/>
  <c r="D169" i="11"/>
  <c r="D225" i="11" s="1"/>
  <c r="E169" i="11"/>
  <c r="E225" i="11" s="1"/>
  <c r="F169" i="11"/>
  <c r="F225" i="11" s="1"/>
  <c r="G169" i="11"/>
  <c r="G225" i="11" s="1"/>
  <c r="H169" i="11"/>
  <c r="H225" i="11" s="1"/>
  <c r="D177" i="11"/>
  <c r="E177" i="11"/>
  <c r="F177" i="11"/>
  <c r="G177" i="11"/>
  <c r="H177" i="11"/>
  <c r="D181" i="11"/>
  <c r="E181" i="11"/>
  <c r="F181" i="11"/>
  <c r="G181" i="11"/>
  <c r="H181" i="11"/>
  <c r="D186" i="11"/>
  <c r="E186" i="11"/>
  <c r="F186" i="11"/>
  <c r="G186" i="11"/>
  <c r="H186" i="11"/>
  <c r="D192" i="11"/>
  <c r="D117" i="11" s="1"/>
  <c r="D213" i="11" s="1"/>
  <c r="D214" i="11" s="1"/>
  <c r="E192" i="11"/>
  <c r="E117" i="11" s="1"/>
  <c r="E213" i="11" s="1"/>
  <c r="E214" i="11" s="1"/>
  <c r="F192" i="11"/>
  <c r="F117" i="11" s="1"/>
  <c r="F213" i="11" s="1"/>
  <c r="F214" i="11" s="1"/>
  <c r="G192" i="11"/>
  <c r="G117" i="11" s="1"/>
  <c r="G213" i="11" s="1"/>
  <c r="G214" i="11" s="1"/>
  <c r="H192" i="11"/>
  <c r="H117" i="11" s="1"/>
  <c r="H213" i="11" s="1"/>
  <c r="H214" i="11" s="1"/>
  <c r="D204" i="11"/>
  <c r="D238" i="11" s="1"/>
  <c r="E204" i="11"/>
  <c r="E238" i="11" s="1"/>
  <c r="F204" i="11"/>
  <c r="F238" i="11" s="1"/>
  <c r="G204" i="11"/>
  <c r="G238" i="11" s="1"/>
  <c r="H204" i="11"/>
  <c r="H238" i="11" s="1"/>
  <c r="D205" i="11"/>
  <c r="D239" i="11" s="1"/>
  <c r="E205" i="11"/>
  <c r="E239" i="11" s="1"/>
  <c r="F205" i="11"/>
  <c r="F239" i="11" s="1"/>
  <c r="G205" i="11"/>
  <c r="G239" i="11" s="1"/>
  <c r="H205" i="11"/>
  <c r="H239" i="11" s="1"/>
  <c r="D240" i="11"/>
  <c r="E240" i="11"/>
  <c r="F240" i="11"/>
  <c r="G240" i="11"/>
  <c r="H240" i="11"/>
  <c r="D242" i="11"/>
  <c r="E242" i="11"/>
  <c r="F242" i="11"/>
  <c r="G242" i="11"/>
  <c r="H242" i="11"/>
  <c r="D244" i="11"/>
  <c r="E244" i="11"/>
  <c r="F244" i="11"/>
  <c r="G244" i="11"/>
  <c r="H244" i="11"/>
  <c r="D247" i="11"/>
  <c r="E247" i="11"/>
  <c r="F247" i="11"/>
  <c r="G247" i="11"/>
  <c r="H247" i="11"/>
  <c r="C217" i="11"/>
  <c r="H226" i="11" l="1"/>
  <c r="D226" i="11"/>
  <c r="E219" i="11"/>
  <c r="E220" i="11" s="1"/>
  <c r="G226" i="11"/>
  <c r="H219" i="11"/>
  <c r="H220" i="11" s="1"/>
  <c r="D219" i="11"/>
  <c r="D220" i="11" s="1"/>
  <c r="F226" i="11"/>
  <c r="G219" i="11"/>
  <c r="G220" i="11" s="1"/>
  <c r="E226" i="11"/>
  <c r="F219" i="11"/>
  <c r="F220" i="11" s="1"/>
  <c r="G93" i="11"/>
  <c r="F93" i="11"/>
  <c r="H93" i="11"/>
  <c r="D93" i="11"/>
  <c r="G173" i="11" l="1"/>
  <c r="G193" i="11" s="1"/>
  <c r="G227" i="11" s="1"/>
  <c r="D173" i="11"/>
  <c r="D193" i="11" s="1"/>
  <c r="D227" i="11" s="1"/>
  <c r="E173" i="11"/>
  <c r="E193" i="11" s="1"/>
  <c r="E227" i="11" s="1"/>
  <c r="H173" i="11"/>
  <c r="H193" i="11" s="1"/>
  <c r="H227" i="11" s="1"/>
  <c r="C215" i="11"/>
  <c r="H228" i="11" l="1"/>
  <c r="H229" i="11"/>
  <c r="H230" i="11" s="1"/>
  <c r="E228" i="11"/>
  <c r="E229" i="11"/>
  <c r="E230" i="11" s="1"/>
  <c r="D228" i="11"/>
  <c r="D229" i="11"/>
  <c r="D230" i="11" s="1"/>
  <c r="G228" i="11"/>
  <c r="G229" i="11"/>
  <c r="G230" i="11" s="1"/>
  <c r="C93" i="11"/>
  <c r="E55" i="11"/>
  <c r="G55" i="11"/>
  <c r="H55" i="11"/>
  <c r="D55" i="11"/>
  <c r="F173" i="11"/>
  <c r="F193" i="11" s="1"/>
  <c r="F227" i="11" s="1"/>
  <c r="F32" i="11"/>
  <c r="F248" i="11" s="1"/>
  <c r="F25" i="11"/>
  <c r="F243" i="11" s="1"/>
  <c r="F24" i="11"/>
  <c r="F16" i="11"/>
  <c r="F241" i="11" s="1"/>
  <c r="F8" i="11"/>
  <c r="F228" i="11" l="1"/>
  <c r="F229" i="11"/>
  <c r="F230" i="11" s="1"/>
  <c r="F27" i="11"/>
  <c r="F245" i="11" s="1"/>
  <c r="F55" i="11"/>
  <c r="F68" i="11"/>
  <c r="F69" i="11"/>
  <c r="F70" i="11" s="1"/>
  <c r="F56" i="11"/>
  <c r="F33" i="11"/>
  <c r="F249" i="11" s="1"/>
  <c r="F30" i="11"/>
  <c r="F246" i="11" s="1"/>
  <c r="F28" i="11"/>
  <c r="F35" i="11"/>
  <c r="C192" i="11"/>
  <c r="F78" i="11" l="1"/>
  <c r="F250" i="11"/>
  <c r="C97" i="11"/>
  <c r="C101" i="11"/>
  <c r="C106" i="11"/>
  <c r="C156" i="11"/>
  <c r="C169" i="11"/>
  <c r="C173" i="11"/>
  <c r="C186" i="11"/>
  <c r="E26" i="12" l="1"/>
  <c r="E37" i="12" s="1"/>
  <c r="B36" i="12"/>
  <c r="C49" i="12"/>
  <c r="L56" i="12"/>
  <c r="N56" i="12"/>
  <c r="L57" i="12"/>
  <c r="N57" i="12"/>
  <c r="L58" i="12"/>
  <c r="N58" i="12"/>
  <c r="L59" i="12"/>
  <c r="N59" i="12"/>
  <c r="L60" i="12"/>
  <c r="N60" i="12"/>
  <c r="L61" i="12"/>
  <c r="N61" i="12"/>
  <c r="L62" i="12"/>
  <c r="N62" i="12"/>
  <c r="L63" i="12"/>
  <c r="N63" i="12"/>
  <c r="L64" i="12"/>
  <c r="N64" i="12"/>
  <c r="L65" i="12"/>
  <c r="N65" i="12"/>
  <c r="L66" i="12"/>
  <c r="N66" i="12"/>
  <c r="L67" i="12"/>
  <c r="N67" i="12"/>
  <c r="E68" i="12"/>
  <c r="F68" i="12" s="1"/>
  <c r="E69" i="12"/>
  <c r="E70" i="12"/>
  <c r="E72" i="12"/>
  <c r="E73" i="12"/>
  <c r="E79" i="12"/>
  <c r="E81" i="12"/>
  <c r="E83" i="12"/>
  <c r="K68" i="12" l="1"/>
  <c r="F84" i="12" s="1"/>
  <c r="E17" i="12"/>
  <c r="E71" i="12"/>
  <c r="F82" i="12" s="1"/>
  <c r="M68" i="12"/>
  <c r="M70" i="12" s="1"/>
  <c r="E38" i="12"/>
  <c r="E18" i="12"/>
  <c r="K70" i="12" l="1"/>
  <c r="K69" i="12"/>
  <c r="F73" i="12"/>
  <c r="F85" i="12"/>
  <c r="M69" i="12"/>
  <c r="F70" i="12"/>
  <c r="F69" i="12"/>
  <c r="F83" i="12" s="1"/>
  <c r="B46" i="12"/>
  <c r="E78" i="12"/>
  <c r="E82" i="12"/>
  <c r="E48" i="12"/>
  <c r="F81" i="12"/>
  <c r="E49" i="12"/>
  <c r="C50" i="11"/>
  <c r="G69" i="12" l="1"/>
  <c r="C42" i="11"/>
  <c r="N56" i="10" l="1"/>
  <c r="M56" i="10"/>
  <c r="L56" i="10"/>
  <c r="K56" i="10"/>
  <c r="J56" i="10"/>
  <c r="I56" i="10"/>
  <c r="H56" i="10"/>
  <c r="G56" i="10"/>
  <c r="F56" i="10"/>
  <c r="N39" i="10"/>
  <c r="M39" i="10"/>
  <c r="L39" i="10"/>
  <c r="K39" i="10"/>
  <c r="J39" i="10"/>
  <c r="I39" i="10"/>
  <c r="H39" i="10"/>
  <c r="G39" i="10"/>
  <c r="F39" i="10"/>
  <c r="N28" i="10"/>
  <c r="M28" i="10"/>
  <c r="L28" i="10"/>
  <c r="K28" i="10"/>
  <c r="J28" i="10"/>
  <c r="I28" i="10"/>
  <c r="H28" i="10"/>
  <c r="G28" i="10"/>
  <c r="F28" i="10"/>
  <c r="C43" i="22" s="1"/>
  <c r="C44" i="22" s="1"/>
  <c r="C76" i="22" s="1"/>
  <c r="C43" i="11" l="1"/>
  <c r="B49" i="10"/>
  <c r="B47" i="10"/>
  <c r="A47" i="10"/>
  <c r="C69" i="10" l="1"/>
  <c r="C67" i="10"/>
  <c r="C65" i="10"/>
  <c r="C63" i="10"/>
  <c r="F44" i="11" l="1"/>
  <c r="F76" i="11" s="1"/>
  <c r="D41" i="10"/>
  <c r="D47" i="10" s="1"/>
  <c r="D43" i="10" l="1"/>
  <c r="D51" i="10" s="1"/>
  <c r="D42" i="10"/>
  <c r="A43" i="10"/>
  <c r="A51" i="10" s="1"/>
  <c r="A42" i="10"/>
  <c r="A49" i="10" s="1"/>
  <c r="F51" i="11" l="1"/>
  <c r="C51" i="22"/>
  <c r="D49" i="10"/>
  <c r="H8" i="11"/>
  <c r="G8" i="11"/>
  <c r="G69" i="11" s="1"/>
  <c r="E8" i="11"/>
  <c r="E69" i="11" s="1"/>
  <c r="D8" i="11"/>
  <c r="D63" i="11" s="1"/>
  <c r="C8" i="11"/>
  <c r="C134" i="11"/>
  <c r="C143" i="11"/>
  <c r="C162" i="11"/>
  <c r="C225" i="11"/>
  <c r="C177" i="11"/>
  <c r="C181" i="11"/>
  <c r="C117" i="11"/>
  <c r="C213" i="11" s="1"/>
  <c r="C214" i="11" s="1"/>
  <c r="C32" i="11"/>
  <c r="C110" i="11"/>
  <c r="C115" i="11"/>
  <c r="D32" i="11"/>
  <c r="D248" i="11" s="1"/>
  <c r="E32" i="11"/>
  <c r="E248" i="11" s="1"/>
  <c r="G32" i="11"/>
  <c r="G248" i="11" s="1"/>
  <c r="H32" i="11"/>
  <c r="H248" i="11" s="1"/>
  <c r="D16" i="11"/>
  <c r="E16" i="11"/>
  <c r="G16" i="11"/>
  <c r="H16" i="11"/>
  <c r="H241" i="11" s="1"/>
  <c r="C24" i="11"/>
  <c r="D24" i="11"/>
  <c r="E24" i="11"/>
  <c r="G24" i="11"/>
  <c r="H24" i="11"/>
  <c r="C28" i="11"/>
  <c r="D25" i="11"/>
  <c r="E25" i="11"/>
  <c r="G25" i="11"/>
  <c r="H25" i="11"/>
  <c r="B201" i="11"/>
  <c r="C204" i="11"/>
  <c r="C238" i="11" s="1"/>
  <c r="C205" i="11"/>
  <c r="C239" i="11" s="1"/>
  <c r="C212" i="11"/>
  <c r="C216" i="11"/>
  <c r="B240" i="11"/>
  <c r="B241" i="11"/>
  <c r="B242" i="11"/>
  <c r="B243" i="11"/>
  <c r="B244" i="11"/>
  <c r="B245" i="11"/>
  <c r="B246" i="11"/>
  <c r="B247" i="11"/>
  <c r="B248" i="11"/>
  <c r="B249" i="11"/>
  <c r="B250" i="11"/>
  <c r="L24" i="10"/>
  <c r="M24" i="10" s="1"/>
  <c r="N24" i="10" s="1"/>
  <c r="L23" i="10"/>
  <c r="M23" i="10" s="1"/>
  <c r="N23" i="10" s="1"/>
  <c r="L22" i="10"/>
  <c r="M22" i="10" s="1"/>
  <c r="N22" i="10" s="1"/>
  <c r="L21" i="10"/>
  <c r="M21" i="10" s="1"/>
  <c r="N21" i="10" s="1"/>
  <c r="L20" i="10"/>
  <c r="M20" i="10" s="1"/>
  <c r="N20" i="10" s="1"/>
  <c r="L19" i="10"/>
  <c r="M19" i="10" s="1"/>
  <c r="N19" i="10" s="1"/>
  <c r="D19" i="10"/>
  <c r="D18" i="10"/>
  <c r="B20" i="10"/>
  <c r="D20" i="10"/>
  <c r="B21" i="10"/>
  <c r="C22" i="10"/>
  <c r="B23" i="10" s="1"/>
  <c r="C23" i="10"/>
  <c r="B24" i="10" s="1"/>
  <c r="F36" i="11" l="1"/>
  <c r="F75" i="11" s="1"/>
  <c r="F36" i="22"/>
  <c r="C36" i="22"/>
  <c r="D36" i="22"/>
  <c r="E36" i="22"/>
  <c r="G36" i="22"/>
  <c r="H36" i="22"/>
  <c r="E52" i="22"/>
  <c r="D52" i="22"/>
  <c r="C53" i="22"/>
  <c r="H52" i="22"/>
  <c r="F52" i="22"/>
  <c r="F54" i="22" s="1"/>
  <c r="H53" i="22"/>
  <c r="G53" i="22"/>
  <c r="F53" i="22"/>
  <c r="C52" i="22"/>
  <c r="E53" i="22"/>
  <c r="D53" i="22"/>
  <c r="G52" i="22"/>
  <c r="C63" i="11"/>
  <c r="C52" i="11"/>
  <c r="F251" i="11"/>
  <c r="F37" i="11"/>
  <c r="F74" i="11"/>
  <c r="F52" i="11"/>
  <c r="F53" i="11"/>
  <c r="E63" i="11"/>
  <c r="E68" i="11"/>
  <c r="E70" i="11" s="1"/>
  <c r="G63" i="11"/>
  <c r="G68" i="11"/>
  <c r="G70" i="11" s="1"/>
  <c r="H68" i="11"/>
  <c r="H69" i="11"/>
  <c r="E51" i="11"/>
  <c r="E52" i="11"/>
  <c r="E53" i="11"/>
  <c r="E44" i="11"/>
  <c r="E76" i="11" s="1"/>
  <c r="E56" i="11"/>
  <c r="G56" i="11"/>
  <c r="G51" i="11"/>
  <c r="G44" i="11"/>
  <c r="G76" i="11" s="1"/>
  <c r="G52" i="11"/>
  <c r="G53" i="11"/>
  <c r="H51" i="11"/>
  <c r="H52" i="11"/>
  <c r="H53" i="11"/>
  <c r="H56" i="11"/>
  <c r="H44" i="11"/>
  <c r="H76" i="11" s="1"/>
  <c r="D68" i="11"/>
  <c r="D51" i="11"/>
  <c r="D52" i="11"/>
  <c r="D53" i="11"/>
  <c r="D69" i="11"/>
  <c r="D56" i="11"/>
  <c r="D44" i="11"/>
  <c r="D76" i="11" s="1"/>
  <c r="D30" i="11"/>
  <c r="D246" i="11" s="1"/>
  <c r="D243" i="11"/>
  <c r="G27" i="11"/>
  <c r="G245" i="11" s="1"/>
  <c r="G241" i="11"/>
  <c r="H28" i="11"/>
  <c r="H243" i="11"/>
  <c r="E27" i="11"/>
  <c r="E245" i="11" s="1"/>
  <c r="E241" i="11"/>
  <c r="G30" i="11"/>
  <c r="G246" i="11" s="1"/>
  <c r="G243" i="11"/>
  <c r="D27" i="11"/>
  <c r="D245" i="11" s="1"/>
  <c r="D241" i="11"/>
  <c r="E28" i="11"/>
  <c r="E243" i="11"/>
  <c r="C55" i="11"/>
  <c r="C68" i="11"/>
  <c r="C69" i="11"/>
  <c r="C53" i="11"/>
  <c r="C51" i="11"/>
  <c r="C44" i="11"/>
  <c r="C56" i="11"/>
  <c r="H30" i="11"/>
  <c r="H246" i="11" s="1"/>
  <c r="H33" i="11"/>
  <c r="H249" i="11" s="1"/>
  <c r="G33" i="11"/>
  <c r="G249" i="11" s="1"/>
  <c r="C30" i="11"/>
  <c r="C33" i="11"/>
  <c r="D28" i="11"/>
  <c r="D33" i="11"/>
  <c r="D249" i="11" s="1"/>
  <c r="C226" i="11"/>
  <c r="G36" i="11"/>
  <c r="G251" i="11" s="1"/>
  <c r="E30" i="11"/>
  <c r="E246" i="11" s="1"/>
  <c r="G28" i="11"/>
  <c r="H27" i="11"/>
  <c r="H245" i="11" s="1"/>
  <c r="E33" i="11"/>
  <c r="E249" i="11" s="1"/>
  <c r="C36" i="11"/>
  <c r="H36" i="11"/>
  <c r="H251" i="11" s="1"/>
  <c r="D36" i="11"/>
  <c r="D251" i="11" s="1"/>
  <c r="E36" i="11"/>
  <c r="E251" i="11" s="1"/>
  <c r="C54" i="22" l="1"/>
  <c r="H37" i="22"/>
  <c r="H150" i="22"/>
  <c r="H74" i="22"/>
  <c r="H75" i="22"/>
  <c r="G37" i="22"/>
  <c r="G150" i="22"/>
  <c r="G74" i="22"/>
  <c r="G75" i="22"/>
  <c r="E150" i="22"/>
  <c r="E75" i="22"/>
  <c r="E37" i="22"/>
  <c r="E74" i="22"/>
  <c r="D150" i="22"/>
  <c r="D74" i="22"/>
  <c r="D37" i="22"/>
  <c r="D75" i="22"/>
  <c r="F58" i="22"/>
  <c r="F77" i="22" s="1"/>
  <c r="F108" i="22" s="1"/>
  <c r="F109" i="22" s="1"/>
  <c r="F57" i="22"/>
  <c r="C150" i="22"/>
  <c r="C37" i="22"/>
  <c r="C74" i="22"/>
  <c r="C75" i="22"/>
  <c r="F75" i="22"/>
  <c r="F74" i="22"/>
  <c r="F150" i="22"/>
  <c r="F37" i="22"/>
  <c r="F82" i="11"/>
  <c r="F207" i="11"/>
  <c r="F208" i="11" s="1"/>
  <c r="C70" i="11"/>
  <c r="C78" i="11" s="1"/>
  <c r="F54" i="11"/>
  <c r="F58" i="11" s="1"/>
  <c r="F77" i="11" s="1"/>
  <c r="F209" i="11" s="1"/>
  <c r="F210" i="11" s="1"/>
  <c r="D70" i="11"/>
  <c r="D78" i="11" s="1"/>
  <c r="H70" i="11"/>
  <c r="H78" i="11" s="1"/>
  <c r="D54" i="11"/>
  <c r="D58" i="11" s="1"/>
  <c r="D77" i="11" s="1"/>
  <c r="G78" i="11"/>
  <c r="E54" i="11"/>
  <c r="E57" i="11" s="1"/>
  <c r="H54" i="11"/>
  <c r="H58" i="11" s="1"/>
  <c r="H77" i="11" s="1"/>
  <c r="H209" i="11" s="1"/>
  <c r="H210" i="11" s="1"/>
  <c r="E78" i="11"/>
  <c r="G54" i="11"/>
  <c r="G58" i="11" s="1"/>
  <c r="G77" i="11" s="1"/>
  <c r="G209" i="11" s="1"/>
  <c r="G210" i="11" s="1"/>
  <c r="C54" i="11"/>
  <c r="C57" i="11" s="1"/>
  <c r="C76" i="11"/>
  <c r="C227" i="11"/>
  <c r="C228" i="11" s="1"/>
  <c r="D35" i="11"/>
  <c r="D75" i="11" s="1"/>
  <c r="E35" i="11"/>
  <c r="E75" i="11" s="1"/>
  <c r="G35" i="11"/>
  <c r="G75" i="11" s="1"/>
  <c r="C35" i="11"/>
  <c r="H35" i="11"/>
  <c r="H75" i="11" s="1"/>
  <c r="G37" i="11"/>
  <c r="D37" i="11"/>
  <c r="C37" i="11"/>
  <c r="C251" i="11"/>
  <c r="E37" i="11"/>
  <c r="H37" i="11"/>
  <c r="C106" i="22" l="1"/>
  <c r="D106" i="22"/>
  <c r="D84" i="22"/>
  <c r="H106" i="22"/>
  <c r="H84" i="22"/>
  <c r="G84" i="22"/>
  <c r="G106" i="22"/>
  <c r="E106" i="22"/>
  <c r="E84" i="22"/>
  <c r="F84" i="22"/>
  <c r="F106" i="22"/>
  <c r="C57" i="22"/>
  <c r="C58" i="22"/>
  <c r="C77" i="22" s="1"/>
  <c r="C108" i="22" s="1"/>
  <c r="C109" i="22" s="1"/>
  <c r="D209" i="11"/>
  <c r="D210" i="11" s="1"/>
  <c r="F233" i="11"/>
  <c r="F221" i="11"/>
  <c r="C250" i="11"/>
  <c r="F57" i="11"/>
  <c r="F119" i="11"/>
  <c r="D57" i="11"/>
  <c r="E58" i="11"/>
  <c r="E77" i="11" s="1"/>
  <c r="E209" i="11" s="1"/>
  <c r="E210" i="11" s="1"/>
  <c r="H57" i="11"/>
  <c r="G57" i="11"/>
  <c r="G74" i="11"/>
  <c r="G250" i="11"/>
  <c r="E250" i="11"/>
  <c r="E74" i="11"/>
  <c r="D250" i="11"/>
  <c r="D74" i="11"/>
  <c r="H250" i="11"/>
  <c r="H74" i="11"/>
  <c r="C229" i="11"/>
  <c r="C230" i="11" s="1"/>
  <c r="C58" i="11"/>
  <c r="C77" i="11" s="1"/>
  <c r="G9" i="22" l="1"/>
  <c r="G133" i="22" s="1"/>
  <c r="G97" i="22"/>
  <c r="H107" i="22"/>
  <c r="H132" i="22" s="1"/>
  <c r="H120" i="22"/>
  <c r="F107" i="22"/>
  <c r="F132" i="22" s="1"/>
  <c r="F120" i="22"/>
  <c r="C84" i="22"/>
  <c r="F97" i="22"/>
  <c r="F9" i="22"/>
  <c r="F133" i="22" s="1"/>
  <c r="D97" i="22"/>
  <c r="D9" i="22"/>
  <c r="D133" i="22" s="1"/>
  <c r="G120" i="22"/>
  <c r="G107" i="22"/>
  <c r="G132" i="22" s="1"/>
  <c r="H97" i="22"/>
  <c r="H9" i="22"/>
  <c r="H133" i="22" s="1"/>
  <c r="E9" i="22"/>
  <c r="E133" i="22" s="1"/>
  <c r="E97" i="22"/>
  <c r="D107" i="22"/>
  <c r="D132" i="22" s="1"/>
  <c r="D120" i="22"/>
  <c r="E107" i="22"/>
  <c r="E132" i="22" s="1"/>
  <c r="E120" i="22"/>
  <c r="C107" i="22"/>
  <c r="C132" i="22" s="1"/>
  <c r="C120" i="22"/>
  <c r="E82" i="11"/>
  <c r="E119" i="11" s="1"/>
  <c r="E196" i="11" s="1"/>
  <c r="E207" i="11"/>
  <c r="E208" i="11" s="1"/>
  <c r="H207" i="11"/>
  <c r="H208" i="11" s="1"/>
  <c r="H82" i="11"/>
  <c r="H119" i="11" s="1"/>
  <c r="H196" i="11" s="1"/>
  <c r="G82" i="11"/>
  <c r="G119" i="11" s="1"/>
  <c r="G196" i="11" s="1"/>
  <c r="G207" i="11"/>
  <c r="G208" i="11" s="1"/>
  <c r="F231" i="11"/>
  <c r="F232" i="11" s="1"/>
  <c r="F222" i="11"/>
  <c r="D82" i="11"/>
  <c r="D119" i="11" s="1"/>
  <c r="D196" i="11" s="1"/>
  <c r="D207" i="11"/>
  <c r="D208" i="11" s="1"/>
  <c r="C82" i="11"/>
  <c r="C208" i="11"/>
  <c r="F196" i="11"/>
  <c r="F9" i="11"/>
  <c r="F234" i="11" s="1"/>
  <c r="C209" i="11"/>
  <c r="C210" i="11" s="1"/>
  <c r="C121" i="22" l="1"/>
  <c r="C130" i="22"/>
  <c r="C131" i="22" s="1"/>
  <c r="C9" i="22"/>
  <c r="C133" i="22" s="1"/>
  <c r="C97" i="22"/>
  <c r="F121" i="22"/>
  <c r="F130" i="22"/>
  <c r="F131" i="22" s="1"/>
  <c r="G121" i="22"/>
  <c r="G130" i="22"/>
  <c r="G131" i="22" s="1"/>
  <c r="H121" i="22"/>
  <c r="H130" i="22"/>
  <c r="H131" i="22" s="1"/>
  <c r="D121" i="22"/>
  <c r="D130" i="22"/>
  <c r="D131" i="22" s="1"/>
  <c r="E121" i="22"/>
  <c r="E130" i="22"/>
  <c r="E131" i="22" s="1"/>
  <c r="G221" i="11"/>
  <c r="G233" i="11"/>
  <c r="H221" i="11"/>
  <c r="H233" i="11"/>
  <c r="D233" i="11"/>
  <c r="D221" i="11"/>
  <c r="E221" i="11"/>
  <c r="E233" i="11"/>
  <c r="H9" i="11"/>
  <c r="H234" i="11" s="1"/>
  <c r="D9" i="11"/>
  <c r="D234" i="11" s="1"/>
  <c r="E9" i="11"/>
  <c r="E234" i="11" s="1"/>
  <c r="C119" i="11"/>
  <c r="C196" i="11" s="1"/>
  <c r="C220" i="11"/>
  <c r="G9" i="11"/>
  <c r="G234" i="11" s="1"/>
  <c r="E222" i="11" l="1"/>
  <c r="E231" i="11"/>
  <c r="E232" i="11" s="1"/>
  <c r="H222" i="11"/>
  <c r="H231" i="11"/>
  <c r="H232" i="11" s="1"/>
  <c r="D231" i="11"/>
  <c r="D232" i="11" s="1"/>
  <c r="D222" i="11"/>
  <c r="G231" i="11"/>
  <c r="G232" i="11" s="1"/>
  <c r="G222" i="11"/>
  <c r="C233" i="11"/>
  <c r="C221" i="11"/>
  <c r="C231" i="11" s="1"/>
  <c r="C232" i="11" s="1"/>
  <c r="C234" i="11"/>
  <c r="C222" i="11" l="1"/>
</calcChain>
</file>

<file path=xl/sharedStrings.xml><?xml version="1.0" encoding="utf-8"?>
<sst xmlns="http://schemas.openxmlformats.org/spreadsheetml/2006/main" count="710" uniqueCount="346">
  <si>
    <t>AVEC COUCHES ET REPAS</t>
  </si>
  <si>
    <t>JUSQU'À</t>
  </si>
  <si>
    <t>SANS COUCHES OU SANS REPAS</t>
  </si>
  <si>
    <t>Produits</t>
  </si>
  <si>
    <t>RESULTAT:</t>
  </si>
  <si>
    <t>par agrément</t>
  </si>
  <si>
    <t>Subventions locales régulières</t>
  </si>
  <si>
    <t xml:space="preserve"> par agrément</t>
  </si>
  <si>
    <t>Mises à disposition</t>
  </si>
  <si>
    <t>N.semaines ouverture par an</t>
  </si>
  <si>
    <t>N.jours ouverture par semaine</t>
  </si>
  <si>
    <t>Aides à l'emploi</t>
  </si>
  <si>
    <t>N.jours fermeture hors congés (fériés,…)</t>
  </si>
  <si>
    <t>Charges</t>
  </si>
  <si>
    <t>Résultat</t>
  </si>
  <si>
    <t>PRODUITS:</t>
  </si>
  <si>
    <t>Réservataires</t>
  </si>
  <si>
    <t>TOTAL PRODUITS:</t>
  </si>
  <si>
    <t>CHARGES:</t>
  </si>
  <si>
    <t>Alimentation</t>
  </si>
  <si>
    <t>Couches, Hygiene</t>
  </si>
  <si>
    <t>Dotations aux Amortissements</t>
  </si>
  <si>
    <t>TOTAL CHARGES:</t>
  </si>
  <si>
    <t>À renseigner</t>
  </si>
  <si>
    <t>DONNÉES D'ACTIVITÉ</t>
  </si>
  <si>
    <t>ANNÉE</t>
  </si>
  <si>
    <t>REEL ou PREVI</t>
  </si>
  <si>
    <t>OUI</t>
  </si>
  <si>
    <t>NON</t>
  </si>
  <si>
    <t>66% du plafond PSU de référence</t>
  </si>
  <si>
    <t>Couches ET repas sont-ils fournis?</t>
  </si>
  <si>
    <t>Actes "Ouvrant Droit" (Heures facturées plafonnées à la Capacité Théorique)</t>
  </si>
  <si>
    <t>Nombre d'heures</t>
  </si>
  <si>
    <t>pour un agrément de</t>
  </si>
  <si>
    <t>Agrément modulé?</t>
  </si>
  <si>
    <t>Vérifiez que le total d'heures en agrément modulé de cette ligne est égal à l'Amplitude déclarée en ligne 17</t>
  </si>
  <si>
    <t>COMMENTAIRES - INSTRUCTIONS</t>
  </si>
  <si>
    <t>Les feuilles sont protégées et verrouillées, ne laissant accès en saisie qu'aux cellules à renseigner.</t>
  </si>
  <si>
    <t>Ne cherchez donc pas à ôter les protections des feuilles.</t>
  </si>
  <si>
    <t>Les cellules accessibles et saisissables ont un fonds jaune clair.</t>
  </si>
  <si>
    <t>Plafond PSU de référence</t>
  </si>
  <si>
    <t>Données d'Activité</t>
  </si>
  <si>
    <t>PLAFONDS PSU</t>
  </si>
  <si>
    <t>Date:</t>
  </si>
  <si>
    <t>De</t>
  </si>
  <si>
    <t>À</t>
  </si>
  <si>
    <t>Fourchettes des pratiques constatées en Haute Garonne en 2017 sur 70% des effectifs les plus représentatifs:</t>
  </si>
  <si>
    <t>Total charges nettes</t>
  </si>
  <si>
    <t>Autres</t>
  </si>
  <si>
    <t>Charges de Personnel + Taxe liées - Rembts IJSS-Prévoyance</t>
  </si>
  <si>
    <r>
      <t>Total produits</t>
    </r>
    <r>
      <rPr>
        <sz val="12"/>
        <rFont val="Verdana"/>
        <family val="2"/>
      </rPr>
      <t xml:space="preserve"> (sauf Rembts IJSS et Prévoyance)</t>
    </r>
  </si>
  <si>
    <t>Autres Produits (sauf Rembts IJSS et Prévoyance)</t>
  </si>
  <si>
    <t>Autres subventions</t>
  </si>
  <si>
    <t>Synthèse économique</t>
  </si>
  <si>
    <t>TOTAL 86-MISES A DISPOSITION GRATUITE</t>
  </si>
  <si>
    <t>Matériel</t>
  </si>
  <si>
    <t>Locaux</t>
  </si>
  <si>
    <t>Personnel</t>
  </si>
  <si>
    <t>86-MISES A DISPOSITION GRATUITE</t>
  </si>
  <si>
    <t>TOTAL 68-DOTATIONS AUX AMORT. ET PROV.</t>
  </si>
  <si>
    <t>68-DOTATIONS AUX AMORT. ET PROV.</t>
  </si>
  <si>
    <t>TOTAL 67-CHARGES EXCEPTIONNELLES</t>
  </si>
  <si>
    <t>Autres charges exceptionnelles</t>
  </si>
  <si>
    <t>67-CHARGES EXCEPTIONNELLES</t>
  </si>
  <si>
    <t>TOTAL 66-CHARGES FINANCIÈRES</t>
  </si>
  <si>
    <t>Autres charges financières</t>
  </si>
  <si>
    <t>Intérêts bancaires</t>
  </si>
  <si>
    <t>66-CHARGES FINANCIÈRES</t>
  </si>
  <si>
    <t>TOTAL 65-AUTRES CHARGES DE GESTION COURANTE</t>
  </si>
  <si>
    <t>65-AUTRES CHARGES DE GESTION COURANTE</t>
  </si>
  <si>
    <t>TOTAL 64-CHARGES DE PERSONNEL</t>
  </si>
  <si>
    <t>64-CHARGES DE PERSONNEL</t>
  </si>
  <si>
    <t>TOTAL 63-IMPOTS ET TAXES</t>
  </si>
  <si>
    <t>Cotisations de formation continue</t>
  </si>
  <si>
    <t>Taxe sur les salaires</t>
  </si>
  <si>
    <t>63-IMPOTS ET TAXES</t>
  </si>
  <si>
    <t>TOTAL 62-AUTRES SERVICES EXTERIEURS</t>
  </si>
  <si>
    <t>Frais missions/réceptions</t>
  </si>
  <si>
    <t>62-AUTRES SERVICES EXTERIEURS</t>
  </si>
  <si>
    <t>TOTAL 61-SERVICES EXTERIEURS</t>
  </si>
  <si>
    <t>Frais de formations</t>
  </si>
  <si>
    <t>Documentation, colloques,…</t>
  </si>
  <si>
    <t>Assurances</t>
  </si>
  <si>
    <t>Location de materiel, travaux, entretien, reparations</t>
  </si>
  <si>
    <t>Loyer&amp; charges locatives</t>
  </si>
  <si>
    <t>61-SERVICES EXTERIEURS</t>
  </si>
  <si>
    <t>TOTAL 60-ACHATS</t>
  </si>
  <si>
    <t>60-ACHATS</t>
  </si>
  <si>
    <t>TOTAL 79-TRANSFERTS DE CHARGES</t>
  </si>
  <si>
    <t>Autres Transferts de charges</t>
  </si>
  <si>
    <t>Remb. IJ: CPAM, Prévoyance</t>
  </si>
  <si>
    <t>Remb. Formation Professionnelle</t>
  </si>
  <si>
    <t>79-TRANSFERTS DE CHARGES</t>
  </si>
  <si>
    <t>TOTAL 78-REPRISES SUR AMORTISSEMENT ET PROVISIONS</t>
  </si>
  <si>
    <t>Reprises sur provisions</t>
  </si>
  <si>
    <t>Reprises sur amortissements</t>
  </si>
  <si>
    <t>78-REPRISES SUR AMORTISSEMENT ET PROVISIONS</t>
  </si>
  <si>
    <t>TOTAL 77-PRODUITS EXCEPTIONNELS</t>
  </si>
  <si>
    <t>77-PRODUITS EXCEPTIONNELS</t>
  </si>
  <si>
    <t>TOTAL 76-PRODUITS FINANCIERS</t>
  </si>
  <si>
    <t>Intérêts perçus</t>
  </si>
  <si>
    <t>76-PRODUITS FINANCIERS</t>
  </si>
  <si>
    <t>TOTAL 75-AUTRES PRODUITS DE GESTION COURANTE</t>
  </si>
  <si>
    <t>Autres Produits de gestion courante</t>
  </si>
  <si>
    <t>TOTAL 74-SUBVENTIONS</t>
  </si>
  <si>
    <t>74-SUBVENTIONS</t>
  </si>
  <si>
    <t>TOTAL 70-PRODUITS DE FONCTIONNEMENT</t>
  </si>
  <si>
    <t>70-PRODUITS DE FONCTIONNEMENT</t>
  </si>
  <si>
    <t>Participations familiales</t>
  </si>
  <si>
    <t>Soit en moyenne par heure facturée</t>
  </si>
  <si>
    <t>%age Enfants porteurs de handicap</t>
  </si>
  <si>
    <t>Taux de financement</t>
  </si>
  <si>
    <t>Bonification "Territoire"</t>
  </si>
  <si>
    <t>Bonification "Mixité Sociale"</t>
  </si>
  <si>
    <t>Taux de financement retenu</t>
  </si>
  <si>
    <t>PARAMÈTRES DE LA BONIFICATION "MIXITÉ SOCIALE"</t>
  </si>
  <si>
    <t>Bonification par place par an</t>
  </si>
  <si>
    <t xml:space="preserve">Inférieur ou égal à </t>
  </si>
  <si>
    <t>PARAMÈTRES DE LA BONIFICATION "TERRITOIRE"</t>
  </si>
  <si>
    <t>Forfait de base</t>
  </si>
  <si>
    <t>Modulation territoriale</t>
  </si>
  <si>
    <t>QPV</t>
  </si>
  <si>
    <t>Niveau de vie</t>
  </si>
  <si>
    <t>Inférieur ou égal à</t>
  </si>
  <si>
    <t>Supérieur à</t>
  </si>
  <si>
    <t>Potentiel financier inférieur ou égal à</t>
  </si>
  <si>
    <t>ET Niveau de vie</t>
  </si>
  <si>
    <t>Plafond de bonification par place par an:</t>
  </si>
  <si>
    <t>Bonification par place</t>
  </si>
  <si>
    <t>Potentiel financier du Territoire</t>
  </si>
  <si>
    <t>Paramètres des plafonds</t>
  </si>
  <si>
    <t>Plafond mini</t>
  </si>
  <si>
    <t>Base calcul plafond maxi</t>
  </si>
  <si>
    <t>Plafond</t>
  </si>
  <si>
    <t>Paramètre 1 plafond de charges</t>
  </si>
  <si>
    <t>Paramètre 2 plafond de charges</t>
  </si>
  <si>
    <t>Plafond de bonification par place</t>
  </si>
  <si>
    <t>Affranchissement/Téléphone/Photocopies/frais banque,…</t>
  </si>
  <si>
    <t>Total des bonifications</t>
  </si>
  <si>
    <t>COUT DE L'ÉQUIPE SELON L'HYPOTHÈSE 2</t>
  </si>
  <si>
    <t>COUT DE L'ÉQUIPE SELON L'HYPOTHÈSE 1</t>
  </si>
  <si>
    <t>Nombre d'enfants encadrés par une personne:</t>
  </si>
  <si>
    <t>Prévu dans l'équipe de l'étape 4</t>
  </si>
  <si>
    <t>Prévu en objectif en étape 3</t>
  </si>
  <si>
    <t>ENFANTS/ETP</t>
  </si>
  <si>
    <t>HEURES TP</t>
  </si>
  <si>
    <t>RAPPEL du temps disponible auprès des enfants pour une personne à temps plein:</t>
  </si>
  <si>
    <t>RAPPEL de la capacité théorique = Nombre d'heures totales de possibilité d'accueil par an X Nombre d'agréments:</t>
  </si>
  <si>
    <t>RÉSUMÉ DES INFORMATIONS et CONTRÔLE DE L'ENCADREMENT: Calcul du nombre d'enfants encadrés par une personne avec l'équipe définie en étape 4</t>
  </si>
  <si>
    <t>ETAPE 5</t>
  </si>
  <si>
    <t>Nombre d'ETP hors encadrement des enfants</t>
  </si>
  <si>
    <t>Nombre total d'ETP auprès des enfants</t>
  </si>
  <si>
    <t>Soit par Agrément:</t>
  </si>
  <si>
    <t>Nombre d'ETP qualifiés auprès des enfants</t>
  </si>
  <si>
    <t>Soit par ETP:</t>
  </si>
  <si>
    <t>Nombre d'ETP diplômés auprès des enfants</t>
  </si>
  <si>
    <t>TOTAL:</t>
  </si>
  <si>
    <t>Nombre total d'ETP</t>
  </si>
  <si>
    <t>NE</t>
  </si>
  <si>
    <t>Cuisine</t>
  </si>
  <si>
    <t>Agent d'entretien</t>
  </si>
  <si>
    <t>Agent administratif</t>
  </si>
  <si>
    <t>Temps direction hors enfants</t>
  </si>
  <si>
    <t>Assistante d'animation</t>
  </si>
  <si>
    <t>Q</t>
  </si>
  <si>
    <t>E</t>
  </si>
  <si>
    <t>CAP</t>
  </si>
  <si>
    <t>Indiquer "D" pour les postes diplômés et "Q" pour les postes qualifiés</t>
  </si>
  <si>
    <t>Auxiliaire de puériculture</t>
  </si>
  <si>
    <t>D</t>
  </si>
  <si>
    <t>Psychomotricienne</t>
  </si>
  <si>
    <t>Infirmière</t>
  </si>
  <si>
    <t>EJE</t>
  </si>
  <si>
    <t>Puéricultrice</t>
  </si>
  <si>
    <t>Direction</t>
  </si>
  <si>
    <t>Ne pas renseigner "D" ou "Q" pour les postes hors encadrement des enfants ("NE")</t>
  </si>
  <si>
    <t>Indiquer "E" pour les postes d'encadrement des enfants, et "NE" pour les autres.</t>
  </si>
  <si>
    <t>Temps direction avec les enfants</t>
  </si>
  <si>
    <t>POSTE</t>
  </si>
  <si>
    <t>Coût annuel de l'équipe</t>
  </si>
  <si>
    <t>Coût annuel Temps Plein</t>
  </si>
  <si>
    <t>Consignes pour remplir le tableau</t>
  </si>
  <si>
    <t>Nombre d'ETP</t>
  </si>
  <si>
    <t>D/Q</t>
  </si>
  <si>
    <t>E/NE</t>
  </si>
  <si>
    <t>Quelques indicateurs pour vous guider:</t>
  </si>
  <si>
    <t>HYPOTHESE 2</t>
  </si>
  <si>
    <t>HYPOTHESE 1</t>
  </si>
  <si>
    <t>Constitution d'une équipe</t>
  </si>
  <si>
    <t>ÉTAPE 4</t>
  </si>
  <si>
    <t>Coût de l'équipe</t>
  </si>
  <si>
    <t>Personnel Qualifié</t>
  </si>
  <si>
    <t>Voir règles PMI</t>
  </si>
  <si>
    <t>Personnel diplômé</t>
  </si>
  <si>
    <t>Soit:</t>
  </si>
  <si>
    <t>%age</t>
  </si>
  <si>
    <t>Répartition</t>
  </si>
  <si>
    <t>Soit Nombre de Temps Pleins nécessaires auprès des enfants:</t>
  </si>
  <si>
    <t>Nombre théorique d'enfants à encadrer pour une personne:</t>
  </si>
  <si>
    <t>Détermination du Nombre de Temps Pleins nécessaires auprès des enfants</t>
  </si>
  <si>
    <t>ÉTAPE 3</t>
  </si>
  <si>
    <t>Soit capacité théorique = Nombre d'heures nécessaires auprès des enfants</t>
  </si>
  <si>
    <t>pour un agrément de:</t>
  </si>
  <si>
    <t>Nombre d'heures:</t>
  </si>
  <si>
    <t>Modulation de l'agrément</t>
  </si>
  <si>
    <t>L'EAJE pratique-t-il la modulation d'agrément?</t>
  </si>
  <si>
    <t>Nombre de places agrées</t>
  </si>
  <si>
    <t>N.heures d'ouverture total par jour (Amplitude horaire)</t>
  </si>
  <si>
    <t>Soit N. jours d'accueil</t>
  </si>
  <si>
    <t>Détermination du nombre d'heures nécessaires auprès des enfants</t>
  </si>
  <si>
    <t>ÉTAPE 2</t>
  </si>
  <si>
    <t>Soit un total de temps disponible auprès des enfants pour une personne à temps plein de:</t>
  </si>
  <si>
    <t>Temps de formation:</t>
  </si>
  <si>
    <t>Temps de réunion, concertation,…:</t>
  </si>
  <si>
    <t>Autres absences rémunérées (congés enfants malades,….):</t>
  </si>
  <si>
    <t>Congés supplémentaires:</t>
  </si>
  <si>
    <t>Congés payés légaux:</t>
  </si>
  <si>
    <t>À déduire</t>
  </si>
  <si>
    <t>Temps plein:</t>
  </si>
  <si>
    <t>Jours:</t>
  </si>
  <si>
    <t>Jours par semaine:</t>
  </si>
  <si>
    <t>Semaines:</t>
  </si>
  <si>
    <t>Détermination du temps disponible auprès des enfants pour une personne à temps plein:</t>
  </si>
  <si>
    <t>ÉTAPE 1</t>
  </si>
  <si>
    <t>RESSOURCES HUMAINES</t>
  </si>
  <si>
    <t>Nbre. de places agréées</t>
  </si>
  <si>
    <t>Nbre.semaines ouverture par an</t>
  </si>
  <si>
    <t>Nbre.jours ouverture par semaine</t>
  </si>
  <si>
    <t>Nbre.jours fermeture hors congés (fériés,…)</t>
  </si>
  <si>
    <t>Nbre. jours d'accueil</t>
  </si>
  <si>
    <t>Nbre.heures ouverture par jour (Amplitude horaire)</t>
  </si>
  <si>
    <t>PLAFOND de Coût par place</t>
  </si>
  <si>
    <t>Coût par place</t>
  </si>
  <si>
    <t>Bonification "inclusion handicap"</t>
  </si>
  <si>
    <t>Bonification "mixité sociale"</t>
  </si>
  <si>
    <t>Bonification "territoire"</t>
  </si>
  <si>
    <t>Nbre. d'enfants total</t>
  </si>
  <si>
    <t>Nbre. enfants ouvrant droit à la bonification (voir notice)</t>
  </si>
  <si>
    <t>%age enfants ouvrant droit à la bonification</t>
  </si>
  <si>
    <t>Nbre. heures facturées en moyenne par agrément par jour</t>
  </si>
  <si>
    <t>La liste ci-dessous est présentée à titre d'exemple. Les données des cellules à fonds jaune des colonnes B,C et D sont modifiables pour réaliser votre liste personalisée, en respectant les consignes indiquées en colonnes G et H.</t>
  </si>
  <si>
    <t>PARAMÈTRES DE LA BONIFICATION "INCLUSION HANDICAP"</t>
  </si>
  <si>
    <t>Adjointe avec les enfants</t>
  </si>
  <si>
    <t>Adjointe hors enfants</t>
  </si>
  <si>
    <t>XXXXXXXX</t>
  </si>
  <si>
    <t>Quote-part des subventions d'investissement</t>
  </si>
  <si>
    <t>Autres Produits Exceptionnels</t>
  </si>
  <si>
    <t>Mutuelle</t>
  </si>
  <si>
    <t>Participation des familles déductibles de la PS+CAF+MSA</t>
  </si>
  <si>
    <t xml:space="preserve">Produits d'entretien/Petit equipement/FourNbre. Admin. </t>
  </si>
  <si>
    <t>Honoraires intermediaires administratifs</t>
  </si>
  <si>
    <t>Honoraires intermediaires auprès des enfants</t>
  </si>
  <si>
    <t>N° de ligne/modèle</t>
  </si>
  <si>
    <t>Autres charges de gestion courante</t>
  </si>
  <si>
    <t>Cotisations Patronales</t>
  </si>
  <si>
    <t>Autres impôts hors charges de Personnel</t>
  </si>
  <si>
    <t>Région</t>
  </si>
  <si>
    <t>For</t>
  </si>
  <si>
    <t>Produits sur exercices antérieurs</t>
  </si>
  <si>
    <t>Autres dotations</t>
  </si>
  <si>
    <t>Analyse économique synthétique</t>
  </si>
  <si>
    <t>Synthèse des éléments d'activité</t>
  </si>
  <si>
    <t>Bonification "inclusion handicap" totale</t>
  </si>
  <si>
    <t>Bonification "territoire" totale</t>
  </si>
  <si>
    <t>Bonification "mixité sociale" totale</t>
  </si>
  <si>
    <t>Autres charges de personnel (Médecine du travail, CE, …)</t>
  </si>
  <si>
    <t>Charges sur exercices antérieurs</t>
  </si>
  <si>
    <t>EAJE</t>
  </si>
  <si>
    <t>GESTIONNAIRE</t>
  </si>
  <si>
    <t>L'établissement est-il en zone "QPV" ou "ZRR"?</t>
  </si>
  <si>
    <t>Bonification "territoire" hors "QPV" ou "ZRR"</t>
  </si>
  <si>
    <t>Nombre de places concernées par la bonification</t>
  </si>
  <si>
    <t>Socle de base</t>
  </si>
  <si>
    <t>Majoration "QPV" ou "ZRR" par place</t>
  </si>
  <si>
    <t>Alors, bonification par place</t>
  </si>
  <si>
    <t>Au delà</t>
  </si>
  <si>
    <t>Montant horaire moyen des participations des familles et bonification associée</t>
  </si>
  <si>
    <t>Les tableaux ci-dessous alimentent l'onglet de construction du budget EAJE PSU.</t>
  </si>
  <si>
    <t>Les paramètres 2017 à 2020 sont fixés et donc non modifiables. Ceux à partir de 2021 sont à mettre à jour.</t>
  </si>
  <si>
    <t>Établissement</t>
  </si>
  <si>
    <r>
      <t>Plafond PSU de référence (</t>
    </r>
    <r>
      <rPr>
        <sz val="12"/>
        <rFont val="Geneva"/>
        <family val="2"/>
      </rPr>
      <t>la valeur qui s'affiche tient compte des données d'activité, ainsi que de l'année, saisies)</t>
    </r>
  </si>
  <si>
    <t>Capacité théorique (Nombre d'heures Théoriques (H.Théo.))</t>
  </si>
  <si>
    <t>Nombre d'heures facturées (H.Fact.)</t>
  </si>
  <si>
    <t>Taux d'occupation financier (H.Fact./H.Théo.)</t>
  </si>
  <si>
    <t>Nombre d'heures de présence réelle (H.Réelles)</t>
  </si>
  <si>
    <t>Taux de facturation (H.Fact./H.Réelles)</t>
  </si>
  <si>
    <t>Prix de Revient Horaire (Total des charges divisé par H.Réelles)</t>
  </si>
  <si>
    <t>Taux d'occupation réel (H.Réelles/H.Théo)</t>
  </si>
  <si>
    <t>Bonification "Inclusion Handicap"</t>
  </si>
  <si>
    <t>Taux de ressortissants du Régime Général</t>
  </si>
  <si>
    <t>Nbre. Heures de concertation: 6 heures par place agréée</t>
  </si>
  <si>
    <t>Prestation autre régime que régime général (MSA,…)</t>
  </si>
  <si>
    <t>Département (aide au loyer,...)</t>
  </si>
  <si>
    <t>Adhésions, frais d'inscription: doivent être inférieurs à 50 € par famille</t>
  </si>
  <si>
    <t>Autres prestations annexes ponctuelles non déductibles de la PS</t>
  </si>
  <si>
    <t>Subventions exceptionnelles (CAF ou autres)</t>
  </si>
  <si>
    <t>Subventions diverses CAF (FPT, Rééquilbrage, Fonds locaux,…)</t>
  </si>
  <si>
    <t>Aide à l'emploi (CAE, CAV, PEC, Emplois Francs,...)</t>
  </si>
  <si>
    <t>75-AUTRES PRODUITS DE GESTION COURANTE (sauf adhésions à porter en ligne 85)</t>
  </si>
  <si>
    <t>Produits divers de gestion courante</t>
  </si>
  <si>
    <t>Charges diverses de gestion courante</t>
  </si>
  <si>
    <t>Dotations aux Provisions (Retraites, Prud'hommes,...)</t>
  </si>
  <si>
    <t>TOTAL 87-CONTRIBUTIONS EN NATURE (reprise automatique du total des comptes 86 saisis plus bas)</t>
  </si>
  <si>
    <r>
      <t xml:space="preserve">   AGRÉMENT MODULÉ
</t>
    </r>
    <r>
      <rPr>
        <sz val="12"/>
        <color indexed="10"/>
        <rFont val="Verdana"/>
        <family val="2"/>
      </rPr>
      <t>À renseigner:</t>
    </r>
  </si>
  <si>
    <t>Sélectionnez "OUI" ou "NON" dans les menus déroulants</t>
  </si>
  <si>
    <t>Sélectionnez "OUI" ou "NON" dans le menu déroulant</t>
  </si>
  <si>
    <t>Nombre d'ETP auprès des enfants:</t>
  </si>
  <si>
    <t>Pourcentage de diplômés auprès des enfants:</t>
  </si>
  <si>
    <t>V2020-1</t>
  </si>
  <si>
    <t>Collectivités Locales</t>
  </si>
  <si>
    <t>Mises à disposition (reprise du montant saisi en charges)</t>
  </si>
  <si>
    <t>Aides à l'emploi (CAE, CAV)</t>
  </si>
  <si>
    <t>Autres Produits</t>
  </si>
  <si>
    <t>loyer&amp; charges locatives</t>
  </si>
  <si>
    <t>Charges de personnel</t>
  </si>
  <si>
    <t>Autres charges</t>
  </si>
  <si>
    <t>Participation des familles déductibles de la PS + PSU + MSA</t>
  </si>
  <si>
    <t>COMPTES DE RÉSULTAT SYNTHÉTIQUE</t>
  </si>
  <si>
    <t>PSU + Participation des familles (déductibles de la PSU) = 66% X (nombre d'actes "Ouvrant Droit" + heures de concertation) X Prix Revient Plafonné X Taux de ressortissants du Régime Général</t>
  </si>
  <si>
    <t>Majoration hors "QPV" ou "ZRR" par place</t>
  </si>
  <si>
    <t>COMPTES DE RÉSULTAT DÉTAILLÉ</t>
  </si>
  <si>
    <t>Collectivité locale</t>
  </si>
  <si>
    <t>GESTIONNAIRE:</t>
  </si>
  <si>
    <t>PREVI</t>
  </si>
  <si>
    <t>Fourchettes du coût annuel constaté en 2021 pour 1 ETP dans les crèches de Mayotte</t>
  </si>
  <si>
    <t xml:space="preserve">Achat prestation repas </t>
  </si>
  <si>
    <t xml:space="preserve">Fournitures administratives </t>
  </si>
  <si>
    <t xml:space="preserve">Pharmacie pour les enfants </t>
  </si>
  <si>
    <t xml:space="preserve">Fournitures pédagogiques </t>
  </si>
  <si>
    <t>Electricité</t>
  </si>
  <si>
    <t xml:space="preserve">Eau </t>
  </si>
  <si>
    <t>Alimentation Goûters</t>
  </si>
  <si>
    <t>Entretien et réparation locaux</t>
  </si>
  <si>
    <t xml:space="preserve">Maintenance </t>
  </si>
  <si>
    <t xml:space="preserve">Honoraire social </t>
  </si>
  <si>
    <t>Voyage et déplacements</t>
  </si>
  <si>
    <t>Réceptions</t>
  </si>
  <si>
    <t>Internet</t>
  </si>
  <si>
    <t xml:space="preserve">Cotisations fédération et autres </t>
  </si>
  <si>
    <t xml:space="preserve">service bancaires et assimilés </t>
  </si>
  <si>
    <t xml:space="preserve">Participation des employeurs à la formation continue </t>
  </si>
  <si>
    <t xml:space="preserve">Salaires et traitements </t>
  </si>
  <si>
    <t>Charges sociales</t>
  </si>
  <si>
    <t>Participations familiales déductibles de la PSU</t>
  </si>
  <si>
    <t xml:space="preserve">CSSM Bonus territoire </t>
  </si>
  <si>
    <t xml:space="preserve">CSSM Bonus mixité sociale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</si>
</sst>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00%"/>
    <numFmt numFmtId="165" formatCode="0.0"/>
    <numFmt numFmtId="166" formatCode="0.0%"/>
    <numFmt numFmtId="167" formatCode="0.000"/>
    <numFmt numFmtId="168" formatCode="[$-40C]mmmm\-yy;@"/>
    <numFmt numFmtId="169" formatCode="#,##0.00000"/>
    <numFmt numFmtId="170" formatCode="#,##0\ &quot;€&quot;"/>
  </numFmts>
  <fonts count="45">
    <font>
      <sz val="10"/>
      <name val="Verdana"/>
    </font>
    <font>
      <sz val="12"/>
      <color theme="1"/>
      <name val="Calibri"/>
      <family val="2"/>
      <scheme val="minor"/>
    </font>
    <font>
      <sz val="12"/>
      <color theme="1"/>
      <name val="Calibri"/>
      <family val="2"/>
      <scheme val="minor"/>
    </font>
    <font>
      <b/>
      <sz val="20"/>
      <name val="Verdana"/>
      <family val="2"/>
    </font>
    <font>
      <b/>
      <sz val="12"/>
      <name val="Geneva"/>
      <family val="2"/>
    </font>
    <font>
      <sz val="10"/>
      <color indexed="12"/>
      <name val="Arial"/>
      <family val="2"/>
    </font>
    <font>
      <b/>
      <sz val="16"/>
      <name val="Verdana"/>
      <family val="2"/>
    </font>
    <font>
      <b/>
      <sz val="10"/>
      <name val="Verdana"/>
      <family val="2"/>
    </font>
    <font>
      <b/>
      <sz val="12"/>
      <name val="Verdana"/>
      <family val="2"/>
    </font>
    <font>
      <b/>
      <u/>
      <sz val="11"/>
      <name val="Geneva"/>
      <family val="2"/>
    </font>
    <font>
      <sz val="12"/>
      <name val="Verdana"/>
      <family val="2"/>
    </font>
    <font>
      <i/>
      <sz val="10"/>
      <color indexed="39"/>
      <name val="Verdana"/>
      <family val="2"/>
    </font>
    <font>
      <i/>
      <sz val="10"/>
      <name val="Verdana"/>
      <family val="2"/>
    </font>
    <font>
      <b/>
      <u/>
      <sz val="12"/>
      <name val="Geneva"/>
      <family val="2"/>
    </font>
    <font>
      <b/>
      <i/>
      <sz val="12"/>
      <name val="Geneva"/>
      <family val="2"/>
    </font>
    <font>
      <b/>
      <sz val="14"/>
      <name val="Verdana"/>
      <family val="2"/>
    </font>
    <font>
      <b/>
      <sz val="9"/>
      <name val="Geneva"/>
      <family val="2"/>
    </font>
    <font>
      <sz val="10"/>
      <name val="Verdana"/>
      <family val="2"/>
    </font>
    <font>
      <sz val="8"/>
      <name val="Verdana"/>
      <family val="2"/>
    </font>
    <font>
      <sz val="12"/>
      <name val="Geneva"/>
      <family val="2"/>
    </font>
    <font>
      <sz val="14"/>
      <name val="Verdana"/>
      <family val="2"/>
    </font>
    <font>
      <sz val="12"/>
      <color theme="1"/>
      <name val="Calibri"/>
      <family val="2"/>
      <scheme val="minor"/>
    </font>
    <font>
      <sz val="10"/>
      <color theme="5"/>
      <name val="Verdana"/>
      <family val="2"/>
    </font>
    <font>
      <sz val="10"/>
      <color theme="0"/>
      <name val="Verdana"/>
      <family val="2"/>
    </font>
    <font>
      <b/>
      <sz val="14"/>
      <color theme="5"/>
      <name val="Geneva"/>
      <family val="2"/>
    </font>
    <font>
      <b/>
      <sz val="14"/>
      <color theme="5"/>
      <name val="Verdana"/>
      <family val="2"/>
    </font>
    <font>
      <b/>
      <sz val="14"/>
      <color theme="8" tint="-0.249977111117893"/>
      <name val="Verdana"/>
      <family val="2"/>
    </font>
    <font>
      <b/>
      <i/>
      <sz val="10"/>
      <color rgb="FF0070C0"/>
      <name val="Verdana"/>
      <family val="2"/>
    </font>
    <font>
      <b/>
      <sz val="10"/>
      <color theme="1"/>
      <name val="Arial"/>
      <family val="2"/>
    </font>
    <font>
      <b/>
      <sz val="12"/>
      <color theme="5"/>
      <name val="Geneva"/>
      <family val="2"/>
    </font>
    <font>
      <b/>
      <sz val="14"/>
      <name val="Geneva"/>
      <family val="2"/>
    </font>
    <font>
      <b/>
      <sz val="12"/>
      <color theme="1"/>
      <name val="Calibri"/>
      <family val="2"/>
      <scheme val="minor"/>
    </font>
    <font>
      <b/>
      <sz val="14"/>
      <color theme="1"/>
      <name val="Calibri"/>
      <family val="2"/>
      <scheme val="minor"/>
    </font>
    <font>
      <sz val="14"/>
      <color theme="1"/>
      <name val="Calibri"/>
      <family val="2"/>
      <scheme val="minor"/>
    </font>
    <font>
      <i/>
      <sz val="10"/>
      <color theme="1"/>
      <name val="Calibri"/>
      <family val="2"/>
      <scheme val="minor"/>
    </font>
    <font>
      <b/>
      <sz val="12"/>
      <color theme="5"/>
      <name val="Calibri"/>
      <family val="2"/>
      <scheme val="minor"/>
    </font>
    <font>
      <sz val="12"/>
      <color rgb="FF000000"/>
      <name val="Calibri"/>
      <family val="2"/>
    </font>
    <font>
      <b/>
      <sz val="10"/>
      <color theme="5"/>
      <name val="Verdana"/>
      <family val="2"/>
    </font>
    <font>
      <sz val="12"/>
      <color theme="5"/>
      <name val="Calibri"/>
      <family val="2"/>
      <scheme val="minor"/>
    </font>
    <font>
      <sz val="12"/>
      <name val="Calibri"/>
      <family val="2"/>
      <scheme val="minor"/>
    </font>
    <font>
      <b/>
      <sz val="18"/>
      <name val="Verdana"/>
      <family val="2"/>
    </font>
    <font>
      <sz val="10"/>
      <color theme="5" tint="-0.249977111117893"/>
      <name val="Verdana"/>
      <family val="2"/>
    </font>
    <font>
      <sz val="12"/>
      <color theme="5"/>
      <name val="Verdana"/>
      <family val="2"/>
    </font>
    <font>
      <sz val="12"/>
      <color indexed="10"/>
      <name val="Verdana"/>
      <family val="2"/>
    </font>
    <font>
      <sz val="10"/>
      <color theme="1"/>
      <name val="Arial"/>
      <family val="2"/>
    </font>
  </fonts>
  <fills count="32">
    <fill>
      <patternFill patternType="none"/>
    </fill>
    <fill>
      <patternFill patternType="gray125"/>
    </fill>
    <fill>
      <patternFill patternType="solid">
        <fgColor indexed="9"/>
        <bgColor indexed="26"/>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CCFFCC"/>
        <bgColor indexed="64"/>
      </patternFill>
    </fill>
    <fill>
      <patternFill patternType="solid">
        <fgColor theme="6" tint="0.59999389629810485"/>
        <bgColor indexed="64"/>
      </patternFill>
    </fill>
    <fill>
      <patternFill patternType="solid">
        <fgColor theme="0" tint="-0.249977111117893"/>
        <bgColor indexed="55"/>
      </patternFill>
    </fill>
    <fill>
      <patternFill patternType="solid">
        <fgColor theme="0" tint="-0.249977111117893"/>
        <bgColor indexed="64"/>
      </patternFill>
    </fill>
    <fill>
      <patternFill patternType="solid">
        <fgColor theme="1"/>
        <bgColor indexed="64"/>
      </patternFill>
    </fill>
    <fill>
      <patternFill patternType="solid">
        <fgColor rgb="FFFFFEF1"/>
        <bgColor indexed="27"/>
      </patternFill>
    </fill>
    <fill>
      <patternFill patternType="solid">
        <fgColor rgb="FFFFFEF1"/>
        <bgColor indexed="64"/>
      </patternFill>
    </fill>
    <fill>
      <patternFill patternType="solid">
        <fgColor rgb="FFFFFEF1"/>
        <bgColor indexed="26"/>
      </patternFill>
    </fill>
    <fill>
      <patternFill patternType="solid">
        <fgColor rgb="FFFFFEF1"/>
        <bgColor indexed="41"/>
      </patternFill>
    </fill>
    <fill>
      <patternFill patternType="solid">
        <fgColor rgb="FFFFFEF1"/>
        <bgColor indexed="22"/>
      </patternFill>
    </fill>
    <fill>
      <patternFill patternType="solid">
        <fgColor theme="9" tint="0.59999389629810485"/>
        <bgColor indexed="64"/>
      </patternFill>
    </fill>
    <fill>
      <patternFill patternType="solid">
        <fgColor rgb="FFFFFEE9"/>
        <bgColor indexed="64"/>
      </patternFill>
    </fill>
    <fill>
      <patternFill patternType="solid">
        <fgColor rgb="FFFFFBEA"/>
        <bgColor indexed="64"/>
      </patternFill>
    </fill>
    <fill>
      <patternFill patternType="solid">
        <fgColor rgb="FFFFFDE6"/>
        <bgColor indexed="64"/>
      </patternFill>
    </fill>
    <fill>
      <patternFill patternType="solid">
        <fgColor rgb="FFFFFEF0"/>
        <bgColor indexed="64"/>
      </patternFill>
    </fill>
    <fill>
      <patternFill patternType="solid">
        <fgColor theme="8" tint="0.39997558519241921"/>
        <bgColor indexed="64"/>
      </patternFill>
    </fill>
    <fill>
      <patternFill patternType="solid">
        <fgColor theme="8" tint="0.59999389629810485"/>
        <bgColor indexed="41"/>
      </patternFill>
    </fill>
    <fill>
      <patternFill patternType="solid">
        <fgColor theme="8" tint="0.59999389629810485"/>
        <bgColor indexed="27"/>
      </patternFill>
    </fill>
    <fill>
      <patternFill patternType="solid">
        <fgColor theme="8" tint="0.59999389629810485"/>
        <bgColor indexed="26"/>
      </patternFill>
    </fill>
    <fill>
      <patternFill patternType="solid">
        <fgColor theme="8" tint="0.59999389629810485"/>
        <bgColor indexed="22"/>
      </patternFill>
    </fill>
    <fill>
      <patternFill patternType="solid">
        <fgColor theme="3" tint="0.79998168889431442"/>
        <bgColor indexed="26"/>
      </patternFill>
    </fill>
    <fill>
      <patternFill patternType="solid">
        <fgColor theme="9" tint="0.79998168889431442"/>
        <bgColor indexed="26"/>
      </patternFill>
    </fill>
  </fills>
  <borders count="117">
    <border>
      <left/>
      <right/>
      <top/>
      <bottom/>
      <diagonal/>
    </border>
    <border>
      <left style="medium">
        <color indexed="8"/>
      </left>
      <right style="medium">
        <color indexed="8"/>
      </right>
      <top/>
      <bottom/>
      <diagonal/>
    </border>
    <border>
      <left/>
      <right style="medium">
        <color indexed="8"/>
      </right>
      <top/>
      <bottom style="medium">
        <color indexed="8"/>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style="medium">
        <color indexed="8"/>
      </right>
      <top style="medium">
        <color indexed="64"/>
      </top>
      <bottom style="medium">
        <color indexed="64"/>
      </bottom>
      <diagonal/>
    </border>
    <border>
      <left style="medium">
        <color indexed="8"/>
      </left>
      <right style="medium">
        <color indexed="8"/>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8"/>
      </right>
      <top style="medium">
        <color indexed="64"/>
      </top>
      <bottom/>
      <diagonal/>
    </border>
    <border>
      <left style="medium">
        <color indexed="64"/>
      </left>
      <right style="medium">
        <color indexed="8"/>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8"/>
      </bottom>
      <diagonal/>
    </border>
    <border>
      <left style="medium">
        <color indexed="8"/>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thin">
        <color indexed="64"/>
      </left>
      <right style="medium">
        <color indexed="8"/>
      </right>
      <top style="medium">
        <color indexed="8"/>
      </top>
      <bottom style="thin">
        <color indexed="64"/>
      </bottom>
      <diagonal/>
    </border>
    <border>
      <left style="medium">
        <color indexed="8"/>
      </left>
      <right style="thin">
        <color indexed="64"/>
      </right>
      <top style="thin">
        <color indexed="64"/>
      </top>
      <bottom style="medium">
        <color indexed="8"/>
      </bottom>
      <diagonal/>
    </border>
    <border>
      <left style="thin">
        <color indexed="64"/>
      </left>
      <right style="thin">
        <color indexed="64"/>
      </right>
      <top style="thin">
        <color indexed="64"/>
      </top>
      <bottom style="medium">
        <color indexed="8"/>
      </bottom>
      <diagonal/>
    </border>
    <border>
      <left style="thin">
        <color indexed="8"/>
      </left>
      <right style="thin">
        <color indexed="8"/>
      </right>
      <top style="thin">
        <color indexed="8"/>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8"/>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8"/>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8"/>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8"/>
      </left>
      <right/>
      <top style="medium">
        <color indexed="8"/>
      </top>
      <bottom style="thin">
        <color indexed="8"/>
      </bottom>
      <diagonal/>
    </border>
    <border>
      <left/>
      <right style="medium">
        <color indexed="8"/>
      </right>
      <top/>
      <bottom style="thin">
        <color indexed="64"/>
      </bottom>
      <diagonal/>
    </border>
    <border>
      <left/>
      <right style="medium">
        <color indexed="8"/>
      </right>
      <top style="thin">
        <color indexed="64"/>
      </top>
      <bottom/>
      <diagonal/>
    </border>
    <border>
      <left style="medium">
        <color indexed="64"/>
      </left>
      <right style="medium">
        <color indexed="64"/>
      </right>
      <top/>
      <bottom style="thin">
        <color indexed="64"/>
      </bottom>
      <diagonal/>
    </border>
    <border>
      <left/>
      <right style="medium">
        <color indexed="8"/>
      </right>
      <top style="medium">
        <color indexed="64"/>
      </top>
      <bottom style="medium">
        <color indexed="64"/>
      </bottom>
      <diagonal/>
    </border>
    <border>
      <left/>
      <right style="medium">
        <color indexed="8"/>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style="thin">
        <color indexed="8"/>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8"/>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8"/>
      </bottom>
      <diagonal/>
    </border>
    <border>
      <left style="medium">
        <color indexed="8"/>
      </left>
      <right style="medium">
        <color indexed="64"/>
      </right>
      <top/>
      <bottom style="medium">
        <color indexed="64"/>
      </bottom>
      <diagonal/>
    </border>
    <border>
      <left style="medium">
        <color indexed="8"/>
      </left>
      <right style="medium">
        <color indexed="64"/>
      </right>
      <top style="medium">
        <color indexed="8"/>
      </top>
      <bottom/>
      <diagonal/>
    </border>
    <border>
      <left/>
      <right style="medium">
        <color indexed="64"/>
      </right>
      <top style="thin">
        <color indexed="64"/>
      </top>
      <bottom/>
      <diagonal/>
    </border>
    <border>
      <left style="thin">
        <color indexed="64"/>
      </left>
      <right style="thin">
        <color indexed="64"/>
      </right>
      <top/>
      <bottom style="thin">
        <color indexed="8"/>
      </bottom>
      <diagonal/>
    </border>
    <border>
      <left style="medium">
        <color indexed="64"/>
      </left>
      <right/>
      <top/>
      <bottom style="medium">
        <color indexed="8"/>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medium">
        <color indexed="8"/>
      </right>
      <top/>
      <bottom style="thin">
        <color indexed="64"/>
      </bottom>
      <diagonal/>
    </border>
    <border>
      <left/>
      <right/>
      <top style="thin">
        <color auto="1"/>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style="medium">
        <color indexed="8"/>
      </left>
      <right style="medium">
        <color indexed="64"/>
      </right>
      <top style="thin">
        <color indexed="64"/>
      </top>
      <bottom/>
      <diagonal/>
    </border>
    <border>
      <left/>
      <right style="medium">
        <color indexed="8"/>
      </right>
      <top/>
      <bottom style="thin">
        <color indexed="64"/>
      </bottom>
      <diagonal/>
    </border>
    <border>
      <left style="medium">
        <color indexed="8"/>
      </left>
      <right style="medium">
        <color indexed="8"/>
      </right>
      <top style="medium">
        <color indexed="64"/>
      </top>
      <bottom/>
      <diagonal/>
    </border>
  </borders>
  <cellStyleXfs count="11">
    <xf numFmtId="0" fontId="0" fillId="0" borderId="0"/>
    <xf numFmtId="0" fontId="17" fillId="0" borderId="0"/>
    <xf numFmtId="9" fontId="17" fillId="0" borderId="0"/>
    <xf numFmtId="0" fontId="17" fillId="0" borderId="0"/>
    <xf numFmtId="0" fontId="21" fillId="0" borderId="0"/>
    <xf numFmtId="9" fontId="17" fillId="0" borderId="0" applyFill="0" applyBorder="0" applyAlignment="0" applyProtection="0"/>
    <xf numFmtId="9" fontId="21"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712">
    <xf numFmtId="0" fontId="0" fillId="0" borderId="0" xfId="0"/>
    <xf numFmtId="0" fontId="0" fillId="0" borderId="0" xfId="0" applyBorder="1"/>
    <xf numFmtId="0" fontId="0" fillId="0" borderId="0" xfId="1" applyFont="1" applyAlignment="1">
      <alignment horizontal="right"/>
    </xf>
    <xf numFmtId="0" fontId="0" fillId="0" borderId="0" xfId="0" applyAlignment="1">
      <alignment vertical="center"/>
    </xf>
    <xf numFmtId="166" fontId="4" fillId="0" borderId="12" xfId="5" applyNumberFormat="1" applyFont="1" applyFill="1" applyBorder="1" applyAlignment="1" applyProtection="1">
      <alignment horizontal="center" vertical="center" wrapText="1"/>
    </xf>
    <xf numFmtId="0" fontId="4" fillId="0" borderId="24" xfId="0" applyFont="1" applyBorder="1" applyAlignment="1" applyProtection="1">
      <alignment horizontal="center" vertical="center"/>
    </xf>
    <xf numFmtId="0" fontId="4" fillId="0" borderId="24" xfId="1" applyFont="1" applyBorder="1" applyAlignment="1" applyProtection="1">
      <alignment horizontal="center" vertical="center"/>
    </xf>
    <xf numFmtId="2" fontId="4" fillId="0" borderId="25" xfId="1" applyNumberFormat="1" applyFont="1" applyFill="1" applyBorder="1" applyAlignment="1" applyProtection="1">
      <alignment horizontal="center" vertical="center" wrapText="1"/>
    </xf>
    <xf numFmtId="0" fontId="23" fillId="0" borderId="0" xfId="0" applyFont="1" applyFill="1" applyAlignment="1">
      <alignment horizontal="center"/>
    </xf>
    <xf numFmtId="0" fontId="0" fillId="0" borderId="0" xfId="1" applyFont="1" applyFill="1" applyBorder="1" applyAlignment="1">
      <alignment horizontal="right"/>
    </xf>
    <xf numFmtId="0" fontId="4" fillId="9" borderId="51" xfId="1" applyFont="1" applyFill="1" applyBorder="1" applyAlignment="1" applyProtection="1">
      <alignment horizontal="center" vertical="center"/>
    </xf>
    <xf numFmtId="0" fontId="7" fillId="0" borderId="65" xfId="1" applyFont="1" applyBorder="1" applyAlignment="1">
      <alignment horizontal="right" vertical="center"/>
    </xf>
    <xf numFmtId="0" fontId="7" fillId="0" borderId="67" xfId="1" applyFont="1" applyBorder="1" applyAlignment="1">
      <alignment horizontal="right" vertical="center"/>
    </xf>
    <xf numFmtId="9" fontId="17" fillId="0" borderId="66" xfId="1" applyNumberFormat="1" applyBorder="1" applyAlignment="1">
      <alignment horizontal="center" vertical="center"/>
    </xf>
    <xf numFmtId="9" fontId="17" fillId="0" borderId="0" xfId="1" applyNumberFormat="1" applyBorder="1" applyAlignment="1">
      <alignment horizontal="center" vertical="center"/>
    </xf>
    <xf numFmtId="9" fontId="7" fillId="0" borderId="60" xfId="1" applyNumberFormat="1" applyFont="1" applyFill="1" applyBorder="1" applyAlignment="1" applyProtection="1">
      <alignment horizontal="left" vertical="center"/>
    </xf>
    <xf numFmtId="9" fontId="7" fillId="0" borderId="68" xfId="1" applyNumberFormat="1" applyFont="1" applyFill="1" applyBorder="1" applyAlignment="1" applyProtection="1">
      <alignment horizontal="left" vertical="center"/>
    </xf>
    <xf numFmtId="0" fontId="20" fillId="0" borderId="66" xfId="0" applyFont="1" applyFill="1" applyBorder="1" applyProtection="1"/>
    <xf numFmtId="0" fontId="20" fillId="0" borderId="43" xfId="0" applyFont="1" applyFill="1" applyBorder="1" applyProtection="1"/>
    <xf numFmtId="0" fontId="20" fillId="0" borderId="26" xfId="0" applyFont="1" applyFill="1" applyBorder="1" applyProtection="1"/>
    <xf numFmtId="0" fontId="20" fillId="0" borderId="0" xfId="0" applyFont="1" applyFill="1" applyBorder="1" applyProtection="1"/>
    <xf numFmtId="0" fontId="20" fillId="0" borderId="44" xfId="0" applyFont="1" applyFill="1" applyBorder="1" applyProtection="1"/>
    <xf numFmtId="0" fontId="20" fillId="0" borderId="46" xfId="0" applyFont="1" applyFill="1" applyBorder="1" applyProtection="1"/>
    <xf numFmtId="0" fontId="20" fillId="0" borderId="47" xfId="0" applyFont="1" applyFill="1" applyBorder="1" applyProtection="1"/>
    <xf numFmtId="0" fontId="20" fillId="0" borderId="39" xfId="0" applyFont="1" applyFill="1" applyBorder="1" applyProtection="1"/>
    <xf numFmtId="0" fontId="25" fillId="0" borderId="70" xfId="0" applyFont="1" applyFill="1" applyBorder="1" applyProtection="1"/>
    <xf numFmtId="0" fontId="25" fillId="0" borderId="66" xfId="0" applyFont="1" applyFill="1" applyBorder="1" applyProtection="1"/>
    <xf numFmtId="0" fontId="25" fillId="0" borderId="26" xfId="0" applyFont="1" applyFill="1" applyBorder="1" applyProtection="1"/>
    <xf numFmtId="0" fontId="25" fillId="0" borderId="0" xfId="0" applyFont="1" applyFill="1" applyBorder="1" applyProtection="1"/>
    <xf numFmtId="0" fontId="26" fillId="0" borderId="26" xfId="0" applyFont="1" applyFill="1" applyBorder="1" applyProtection="1"/>
    <xf numFmtId="0" fontId="26" fillId="0" borderId="0" xfId="0" applyFont="1" applyFill="1" applyBorder="1" applyProtection="1"/>
    <xf numFmtId="0" fontId="15" fillId="0" borderId="26" xfId="0" applyFont="1" applyFill="1" applyBorder="1" applyProtection="1"/>
    <xf numFmtId="166" fontId="19" fillId="8" borderId="51" xfId="5" applyNumberFormat="1" applyFont="1" applyFill="1" applyBorder="1" applyAlignment="1" applyProtection="1">
      <alignment horizontal="center" vertical="center"/>
    </xf>
    <xf numFmtId="166" fontId="19" fillId="7" borderId="51" xfId="5" applyNumberFormat="1" applyFont="1" applyFill="1" applyBorder="1" applyAlignment="1" applyProtection="1">
      <alignment horizontal="center" vertical="center"/>
    </xf>
    <xf numFmtId="9" fontId="19" fillId="9" borderId="51" xfId="5" applyFont="1" applyFill="1" applyBorder="1" applyAlignment="1" applyProtection="1">
      <alignment horizontal="center" vertical="center"/>
    </xf>
    <xf numFmtId="0" fontId="7" fillId="0" borderId="58" xfId="0" applyFont="1" applyFill="1" applyBorder="1" applyAlignment="1" applyProtection="1">
      <alignment horizontal="center" vertical="center" wrapText="1"/>
    </xf>
    <xf numFmtId="0" fontId="0" fillId="0" borderId="28" xfId="0" applyFill="1" applyBorder="1" applyAlignment="1" applyProtection="1">
      <alignment horizontal="center" vertical="center"/>
    </xf>
    <xf numFmtId="0" fontId="0" fillId="0" borderId="43" xfId="0" applyBorder="1" applyAlignment="1">
      <alignment horizontal="center" vertical="center"/>
    </xf>
    <xf numFmtId="0" fontId="0" fillId="0" borderId="29" xfId="0" applyFill="1" applyBorder="1" applyAlignment="1" applyProtection="1">
      <alignment horizontal="center" vertical="center"/>
    </xf>
    <xf numFmtId="0" fontId="0" fillId="0" borderId="44" xfId="0" applyBorder="1" applyAlignment="1">
      <alignment horizontal="center" vertical="center"/>
    </xf>
    <xf numFmtId="3" fontId="10" fillId="0" borderId="44" xfId="0" applyNumberFormat="1" applyFont="1" applyBorder="1" applyAlignment="1">
      <alignment horizontal="center" vertical="center"/>
    </xf>
    <xf numFmtId="3" fontId="27" fillId="0" borderId="29" xfId="0" applyNumberFormat="1" applyFont="1" applyBorder="1" applyAlignment="1">
      <alignment horizontal="center" vertical="center"/>
    </xf>
    <xf numFmtId="3" fontId="27" fillId="0" borderId="44" xfId="0" applyNumberFormat="1" applyFont="1" applyBorder="1" applyAlignment="1">
      <alignment horizontal="center" vertical="center"/>
    </xf>
    <xf numFmtId="0" fontId="27" fillId="0" borderId="29" xfId="0" applyFont="1" applyFill="1" applyBorder="1" applyAlignment="1" applyProtection="1">
      <alignment horizontal="center" vertical="center"/>
    </xf>
    <xf numFmtId="3" fontId="27" fillId="0" borderId="28" xfId="0" applyNumberFormat="1" applyFont="1" applyBorder="1" applyAlignment="1">
      <alignment horizontal="center" vertical="center"/>
    </xf>
    <xf numFmtId="3" fontId="27" fillId="0" borderId="43" xfId="0" applyNumberFormat="1" applyFont="1" applyBorder="1" applyAlignment="1">
      <alignment horizontal="center" vertical="center"/>
    </xf>
    <xf numFmtId="3" fontId="27" fillId="0" borderId="31" xfId="0" applyNumberFormat="1" applyFont="1" applyBorder="1" applyAlignment="1">
      <alignment horizontal="center" vertical="center"/>
    </xf>
    <xf numFmtId="3" fontId="27" fillId="0" borderId="39" xfId="0" applyNumberFormat="1" applyFont="1" applyBorder="1" applyAlignment="1">
      <alignment horizontal="center" vertical="center"/>
    </xf>
    <xf numFmtId="0" fontId="27" fillId="0" borderId="42" xfId="0" applyFont="1" applyBorder="1"/>
    <xf numFmtId="0" fontId="27" fillId="0" borderId="0" xfId="0" applyFont="1"/>
    <xf numFmtId="3" fontId="27" fillId="0" borderId="6" xfId="0" applyNumberFormat="1" applyFont="1" applyBorder="1"/>
    <xf numFmtId="0" fontId="17" fillId="0" borderId="0" xfId="3"/>
    <xf numFmtId="0" fontId="17" fillId="0" borderId="0" xfId="3" applyProtection="1"/>
    <xf numFmtId="3" fontId="8" fillId="0" borderId="0" xfId="3" applyNumberFormat="1" applyFont="1" applyBorder="1"/>
    <xf numFmtId="2" fontId="4" fillId="7" borderId="48" xfId="3" applyNumberFormat="1" applyFont="1" applyFill="1" applyBorder="1" applyAlignment="1" applyProtection="1">
      <alignment horizontal="center" vertical="center"/>
    </xf>
    <xf numFmtId="0" fontId="4" fillId="7" borderId="48" xfId="3" applyFont="1" applyFill="1" applyBorder="1" applyAlignment="1" applyProtection="1">
      <alignment horizontal="center" vertical="center"/>
    </xf>
    <xf numFmtId="2" fontId="4" fillId="9" borderId="51" xfId="3" applyNumberFormat="1" applyFont="1" applyFill="1" applyBorder="1" applyAlignment="1" applyProtection="1">
      <alignment horizontal="center" vertical="center"/>
    </xf>
    <xf numFmtId="0" fontId="4" fillId="9" borderId="51" xfId="3" applyFont="1" applyFill="1" applyBorder="1" applyAlignment="1" applyProtection="1">
      <alignment horizontal="center" vertical="center"/>
    </xf>
    <xf numFmtId="0" fontId="4" fillId="7" borderId="51" xfId="3" applyFont="1" applyFill="1" applyBorder="1" applyAlignment="1" applyProtection="1">
      <alignment horizontal="center" vertical="center"/>
    </xf>
    <xf numFmtId="3" fontId="4" fillId="7" borderId="51" xfId="3" applyNumberFormat="1" applyFont="1" applyFill="1" applyBorder="1" applyAlignment="1" applyProtection="1">
      <alignment horizontal="center" vertical="center"/>
    </xf>
    <xf numFmtId="0" fontId="4" fillId="8" borderId="51" xfId="3" applyFont="1" applyFill="1" applyBorder="1" applyAlignment="1" applyProtection="1">
      <alignment horizontal="center" vertical="center"/>
    </xf>
    <xf numFmtId="2" fontId="14" fillId="10" borderId="51" xfId="3" applyNumberFormat="1" applyFont="1" applyFill="1" applyBorder="1" applyAlignment="1" applyProtection="1">
      <alignment horizontal="center" vertical="center"/>
    </xf>
    <xf numFmtId="0" fontId="14" fillId="10" borderId="51" xfId="3" applyFont="1" applyFill="1" applyBorder="1" applyAlignment="1" applyProtection="1">
      <alignment horizontal="center" vertical="center"/>
    </xf>
    <xf numFmtId="3" fontId="4" fillId="9" borderId="51" xfId="3" applyNumberFormat="1" applyFont="1" applyFill="1" applyBorder="1" applyAlignment="1" applyProtection="1">
      <alignment horizontal="center" vertical="center"/>
    </xf>
    <xf numFmtId="0" fontId="4" fillId="8" borderId="50" xfId="3" applyFont="1" applyFill="1" applyBorder="1" applyAlignment="1" applyProtection="1">
      <alignment horizontal="center" vertical="center"/>
    </xf>
    <xf numFmtId="0" fontId="8" fillId="0" borderId="1" xfId="3" applyFont="1" applyBorder="1" applyAlignment="1" applyProtection="1">
      <alignment horizontal="center" vertical="center"/>
    </xf>
    <xf numFmtId="0" fontId="7" fillId="0" borderId="4" xfId="3" applyFont="1" applyBorder="1" applyProtection="1"/>
    <xf numFmtId="0" fontId="8" fillId="0" borderId="52" xfId="3" applyFont="1" applyBorder="1" applyAlignment="1" applyProtection="1">
      <alignment horizontal="center" vertical="center"/>
    </xf>
    <xf numFmtId="3" fontId="12" fillId="0" borderId="0" xfId="3" applyNumberFormat="1" applyFont="1" applyFill="1" applyBorder="1" applyAlignment="1">
      <alignment horizontal="left"/>
    </xf>
    <xf numFmtId="0" fontId="7" fillId="0" borderId="0" xfId="3" applyFont="1" applyFill="1" applyBorder="1"/>
    <xf numFmtId="3" fontId="11" fillId="0" borderId="27" xfId="3" applyNumberFormat="1" applyFont="1" applyBorder="1" applyAlignment="1">
      <alignment horizontal="left"/>
    </xf>
    <xf numFmtId="0" fontId="11" fillId="0" borderId="31" xfId="3" applyFont="1" applyFill="1" applyBorder="1" applyAlignment="1">
      <alignment horizontal="right"/>
    </xf>
    <xf numFmtId="3" fontId="8" fillId="0" borderId="5" xfId="3" applyNumberFormat="1" applyFont="1" applyBorder="1"/>
    <xf numFmtId="0" fontId="8" fillId="0" borderId="30" xfId="3" applyFont="1" applyBorder="1"/>
    <xf numFmtId="3" fontId="11" fillId="0" borderId="2" xfId="3" applyNumberFormat="1" applyFont="1" applyBorder="1" applyAlignment="1">
      <alignment horizontal="left"/>
    </xf>
    <xf numFmtId="0" fontId="11" fillId="0" borderId="29" xfId="3" applyFont="1" applyFill="1" applyBorder="1" applyAlignment="1">
      <alignment horizontal="right"/>
    </xf>
    <xf numFmtId="3" fontId="8" fillId="0" borderId="3" xfId="3" applyNumberFormat="1" applyFont="1" applyBorder="1"/>
    <xf numFmtId="0" fontId="8" fillId="0" borderId="28" xfId="3" applyFont="1" applyBorder="1"/>
    <xf numFmtId="3" fontId="11" fillId="0" borderId="1" xfId="3" applyNumberFormat="1" applyFont="1" applyBorder="1" applyAlignment="1">
      <alignment horizontal="left"/>
    </xf>
    <xf numFmtId="0" fontId="11" fillId="0" borderId="4" xfId="3" applyFont="1" applyFill="1" applyBorder="1" applyAlignment="1">
      <alignment horizontal="right"/>
    </xf>
    <xf numFmtId="3" fontId="10" fillId="0" borderId="1" xfId="3" applyNumberFormat="1" applyFont="1" applyBorder="1"/>
    <xf numFmtId="0" fontId="10" fillId="0" borderId="4" xfId="3" applyFont="1" applyBorder="1"/>
    <xf numFmtId="3" fontId="11" fillId="0" borderId="53" xfId="3" applyNumberFormat="1" applyFont="1" applyBorder="1" applyAlignment="1">
      <alignment horizontal="left"/>
    </xf>
    <xf numFmtId="3" fontId="10" fillId="0" borderId="57" xfId="3" applyNumberFormat="1" applyFont="1" applyBorder="1"/>
    <xf numFmtId="0" fontId="10" fillId="0" borderId="28" xfId="3" applyFont="1" applyBorder="1"/>
    <xf numFmtId="3" fontId="17" fillId="0" borderId="56" xfId="3" applyNumberFormat="1" applyBorder="1"/>
    <xf numFmtId="0" fontId="8" fillId="0" borderId="58" xfId="3" applyFont="1" applyBorder="1"/>
    <xf numFmtId="0" fontId="17" fillId="0" borderId="42" xfId="3" applyBorder="1"/>
    <xf numFmtId="3" fontId="8" fillId="0" borderId="1" xfId="3" applyNumberFormat="1" applyFont="1" applyBorder="1"/>
    <xf numFmtId="0" fontId="8" fillId="0" borderId="29" xfId="3" applyFont="1" applyBorder="1"/>
    <xf numFmtId="3" fontId="11" fillId="0" borderId="39" xfId="3" applyNumberFormat="1" applyFont="1" applyBorder="1" applyAlignment="1">
      <alignment horizontal="left"/>
    </xf>
    <xf numFmtId="3" fontId="10" fillId="0" borderId="44" xfId="3" applyNumberFormat="1" applyFont="1" applyBorder="1"/>
    <xf numFmtId="0" fontId="10" fillId="0" borderId="29" xfId="3" applyFont="1" applyBorder="1" applyAlignment="1">
      <alignment wrapText="1"/>
    </xf>
    <xf numFmtId="0" fontId="10" fillId="0" borderId="29" xfId="3" applyFont="1" applyBorder="1"/>
    <xf numFmtId="3" fontId="10" fillId="0" borderId="43" xfId="3" applyNumberFormat="1" applyFont="1" applyBorder="1"/>
    <xf numFmtId="3" fontId="11" fillId="0" borderId="5" xfId="3" applyNumberFormat="1" applyFont="1" applyBorder="1" applyAlignment="1">
      <alignment horizontal="left"/>
    </xf>
    <xf numFmtId="3" fontId="10" fillId="0" borderId="7" xfId="3" applyNumberFormat="1" applyFont="1" applyBorder="1"/>
    <xf numFmtId="3" fontId="10" fillId="0" borderId="54" xfId="3" applyNumberFormat="1" applyFont="1" applyBorder="1"/>
    <xf numFmtId="0" fontId="10" fillId="0" borderId="49" xfId="3" applyFont="1" applyBorder="1"/>
    <xf numFmtId="0" fontId="11" fillId="0" borderId="55" xfId="3" applyFont="1" applyFill="1" applyBorder="1" applyAlignment="1">
      <alignment horizontal="right"/>
    </xf>
    <xf numFmtId="3" fontId="10" fillId="0" borderId="5" xfId="3" applyNumberFormat="1" applyFont="1" applyBorder="1"/>
    <xf numFmtId="3" fontId="10" fillId="0" borderId="3" xfId="3" applyNumberFormat="1" applyFont="1" applyBorder="1"/>
    <xf numFmtId="0" fontId="17" fillId="0" borderId="10" xfId="3" applyBorder="1"/>
    <xf numFmtId="0" fontId="8" fillId="0" borderId="40" xfId="3" applyFont="1" applyBorder="1"/>
    <xf numFmtId="0" fontId="8" fillId="0" borderId="11" xfId="3" applyFont="1" applyBorder="1" applyAlignment="1">
      <alignment horizontal="center" vertical="center"/>
    </xf>
    <xf numFmtId="0" fontId="8" fillId="0" borderId="10" xfId="3" applyFont="1" applyBorder="1" applyAlignment="1">
      <alignment horizontal="center" vertical="center"/>
    </xf>
    <xf numFmtId="0" fontId="3" fillId="0" borderId="58" xfId="3" applyFont="1" applyFill="1" applyBorder="1" applyAlignment="1" applyProtection="1"/>
    <xf numFmtId="0" fontId="17" fillId="0" borderId="26" xfId="3" applyBorder="1" applyProtection="1"/>
    <xf numFmtId="0" fontId="17" fillId="0" borderId="0" xfId="3" applyAlignment="1" applyProtection="1"/>
    <xf numFmtId="0" fontId="17" fillId="0" borderId="80" xfId="3" applyBorder="1"/>
    <xf numFmtId="0" fontId="22" fillId="0" borderId="8" xfId="3" applyFont="1" applyBorder="1" applyAlignment="1">
      <alignment horizontal="left" vertical="center"/>
    </xf>
    <xf numFmtId="0" fontId="17" fillId="0" borderId="0" xfId="3" applyBorder="1"/>
    <xf numFmtId="0" fontId="3" fillId="0" borderId="0" xfId="3" applyFont="1" applyFill="1" applyBorder="1" applyAlignment="1" applyProtection="1"/>
    <xf numFmtId="2" fontId="13" fillId="0" borderId="0" xfId="3" applyNumberFormat="1" applyFont="1" applyBorder="1" applyAlignment="1" applyProtection="1"/>
    <xf numFmtId="3" fontId="16" fillId="0" borderId="26" xfId="3" applyNumberFormat="1" applyFont="1" applyFill="1" applyBorder="1" applyAlignment="1" applyProtection="1"/>
    <xf numFmtId="2" fontId="17" fillId="0" borderId="26" xfId="3" applyNumberFormat="1" applyBorder="1" applyProtection="1"/>
    <xf numFmtId="10" fontId="0" fillId="0" borderId="26" xfId="5" applyNumberFormat="1" applyFont="1" applyFill="1" applyBorder="1" applyAlignment="1" applyProtection="1"/>
    <xf numFmtId="2" fontId="12" fillId="0" borderId="23" xfId="3" applyNumberFormat="1" applyFont="1" applyBorder="1" applyAlignment="1">
      <alignment horizontal="right"/>
    </xf>
    <xf numFmtId="0" fontId="12" fillId="0" borderId="23" xfId="3" applyFont="1" applyBorder="1" applyAlignment="1" applyProtection="1">
      <alignment horizontal="right"/>
    </xf>
    <xf numFmtId="3" fontId="11" fillId="0" borderId="0" xfId="3" applyNumberFormat="1" applyFont="1" applyBorder="1" applyAlignment="1">
      <alignment horizontal="left"/>
    </xf>
    <xf numFmtId="0" fontId="4" fillId="0" borderId="38" xfId="3" applyFont="1" applyBorder="1" applyAlignment="1" applyProtection="1">
      <alignment horizontal="center" vertical="center" wrapText="1"/>
    </xf>
    <xf numFmtId="2" fontId="4" fillId="0" borderId="12" xfId="3" applyNumberFormat="1" applyFont="1" applyFill="1" applyBorder="1" applyAlignment="1" applyProtection="1">
      <alignment horizontal="center" vertical="center" wrapText="1"/>
    </xf>
    <xf numFmtId="0" fontId="4" fillId="0" borderId="24" xfId="3" applyFont="1" applyBorder="1" applyAlignment="1" applyProtection="1">
      <alignment horizontal="center" vertical="center"/>
    </xf>
    <xf numFmtId="166" fontId="4" fillId="0" borderId="12" xfId="3" applyNumberFormat="1" applyFont="1" applyFill="1" applyBorder="1" applyAlignment="1" applyProtection="1">
      <alignment horizontal="center" vertical="center" wrapText="1"/>
    </xf>
    <xf numFmtId="0" fontId="12" fillId="0" borderId="0" xfId="3" applyFont="1" applyFill="1" applyBorder="1" applyAlignment="1" applyProtection="1">
      <alignment horizontal="center"/>
    </xf>
    <xf numFmtId="0" fontId="4" fillId="0" borderId="24" xfId="3" applyFont="1" applyBorder="1" applyAlignment="1" applyProtection="1">
      <alignment horizontal="center" vertical="center" wrapText="1"/>
    </xf>
    <xf numFmtId="3" fontId="4" fillId="0" borderId="12" xfId="3" applyNumberFormat="1" applyFont="1" applyFill="1" applyBorder="1" applyAlignment="1" applyProtection="1">
      <alignment horizontal="center" vertical="center" wrapText="1"/>
    </xf>
    <xf numFmtId="4" fontId="14" fillId="0" borderId="12" xfId="3" applyNumberFormat="1" applyFont="1" applyFill="1" applyBorder="1" applyAlignment="1" applyProtection="1">
      <alignment horizontal="center" vertical="center" wrapText="1"/>
    </xf>
    <xf numFmtId="0" fontId="14" fillId="0" borderId="24" xfId="3" applyFont="1" applyBorder="1" applyAlignment="1" applyProtection="1">
      <alignment horizontal="center" vertical="center"/>
    </xf>
    <xf numFmtId="0" fontId="17" fillId="0" borderId="0" xfId="3" applyFill="1" applyBorder="1" applyAlignment="1" applyProtection="1">
      <alignment horizontal="center"/>
    </xf>
    <xf numFmtId="3" fontId="17" fillId="0" borderId="0" xfId="3" applyNumberFormat="1" applyBorder="1"/>
    <xf numFmtId="165" fontId="4" fillId="0" borderId="41" xfId="3" applyNumberFormat="1" applyFont="1" applyBorder="1" applyAlignment="1" applyProtection="1">
      <alignment horizontal="center" vertical="center"/>
    </xf>
    <xf numFmtId="0" fontId="4" fillId="7" borderId="40" xfId="3" applyFont="1" applyFill="1" applyBorder="1" applyAlignment="1" applyProtection="1">
      <alignment horizontal="center" vertical="center" wrapText="1"/>
    </xf>
    <xf numFmtId="0" fontId="4" fillId="7" borderId="38" xfId="3" applyFont="1" applyFill="1" applyBorder="1" applyAlignment="1" applyProtection="1">
      <alignment horizontal="right" vertical="center"/>
    </xf>
    <xf numFmtId="0" fontId="4" fillId="7" borderId="22" xfId="3" applyFont="1" applyFill="1" applyBorder="1" applyAlignment="1" applyProtection="1">
      <alignment horizontal="right" vertical="center"/>
    </xf>
    <xf numFmtId="3" fontId="10" fillId="0" borderId="0" xfId="3" applyNumberFormat="1" applyFont="1" applyBorder="1"/>
    <xf numFmtId="0" fontId="22" fillId="0" borderId="9" xfId="3" applyFont="1" applyBorder="1" applyAlignment="1">
      <alignment horizontal="left" vertical="center"/>
    </xf>
    <xf numFmtId="1" fontId="4" fillId="2" borderId="12" xfId="3" applyNumberFormat="1" applyFont="1" applyFill="1" applyBorder="1" applyAlignment="1" applyProtection="1">
      <alignment horizontal="center" vertical="center" wrapText="1"/>
    </xf>
    <xf numFmtId="2" fontId="9" fillId="0" borderId="0" xfId="3" applyNumberFormat="1" applyFont="1" applyBorder="1" applyAlignment="1" applyProtection="1">
      <alignment horizontal="center"/>
    </xf>
    <xf numFmtId="0" fontId="9" fillId="0" borderId="0" xfId="3" applyFont="1" applyBorder="1" applyAlignment="1" applyProtection="1">
      <alignment horizontal="center"/>
    </xf>
    <xf numFmtId="3" fontId="9" fillId="5" borderId="34" xfId="3" applyNumberFormat="1" applyFont="1" applyFill="1" applyBorder="1" applyAlignment="1" applyProtection="1">
      <alignment horizontal="center"/>
    </xf>
    <xf numFmtId="0" fontId="9" fillId="5" borderId="33" xfId="3" applyFont="1" applyFill="1" applyBorder="1" applyAlignment="1" applyProtection="1">
      <alignment horizontal="center"/>
    </xf>
    <xf numFmtId="0" fontId="4" fillId="0" borderId="0" xfId="3" applyFont="1" applyBorder="1" applyAlignment="1" applyProtection="1">
      <alignment horizontal="center" vertical="center"/>
    </xf>
    <xf numFmtId="0" fontId="24" fillId="0" borderId="45" xfId="3" applyFont="1" applyBorder="1" applyAlignment="1" applyProtection="1">
      <alignment horizontal="center" vertical="center"/>
      <protection locked="0"/>
    </xf>
    <xf numFmtId="0" fontId="8" fillId="6" borderId="40" xfId="3" applyFont="1" applyFill="1" applyBorder="1" applyAlignment="1">
      <alignment horizontal="right"/>
    </xf>
    <xf numFmtId="0" fontId="24" fillId="0" borderId="32" xfId="3" applyFont="1" applyBorder="1" applyAlignment="1" applyProtection="1">
      <alignment horizontal="center" vertical="center"/>
      <protection locked="0"/>
    </xf>
    <xf numFmtId="0" fontId="4" fillId="0" borderId="18" xfId="3" applyFont="1" applyBorder="1" applyAlignment="1" applyProtection="1">
      <alignment horizontal="right" vertical="center"/>
    </xf>
    <xf numFmtId="0" fontId="4" fillId="0" borderId="15" xfId="3" applyFont="1" applyBorder="1" applyAlignment="1" applyProtection="1">
      <alignment horizontal="right" vertical="center"/>
    </xf>
    <xf numFmtId="0" fontId="17" fillId="0" borderId="21" xfId="3" applyBorder="1" applyAlignment="1">
      <alignment horizontal="right" vertical="center"/>
    </xf>
    <xf numFmtId="0" fontId="15" fillId="0" borderId="0" xfId="0" applyFont="1" applyFill="1" applyBorder="1" applyProtection="1"/>
    <xf numFmtId="0" fontId="17" fillId="0" borderId="0" xfId="0" applyFont="1"/>
    <xf numFmtId="0" fontId="17" fillId="0" borderId="0" xfId="0" applyFont="1" applyFill="1" applyBorder="1" applyProtection="1"/>
    <xf numFmtId="0" fontId="17" fillId="0" borderId="58" xfId="0" applyFont="1" applyFill="1" applyBorder="1" applyAlignment="1" applyProtection="1">
      <alignment horizontal="center" vertical="center" wrapText="1"/>
    </xf>
    <xf numFmtId="3" fontId="17" fillId="0" borderId="0" xfId="0" applyNumberFormat="1" applyFont="1" applyFill="1" applyBorder="1" applyProtection="1"/>
    <xf numFmtId="0" fontId="7" fillId="0" borderId="21" xfId="0" applyFont="1" applyFill="1" applyBorder="1" applyAlignment="1" applyProtection="1">
      <alignment horizontal="center" vertical="center" wrapText="1"/>
    </xf>
    <xf numFmtId="0" fontId="17" fillId="0" borderId="46" xfId="0" applyFont="1" applyBorder="1" applyAlignment="1">
      <alignment horizontal="right" vertical="center" wrapText="1"/>
    </xf>
    <xf numFmtId="3" fontId="17" fillId="0" borderId="39" xfId="0" applyNumberFormat="1" applyFont="1" applyFill="1" applyBorder="1" applyAlignment="1" applyProtection="1">
      <alignment horizontal="center" vertical="center"/>
    </xf>
    <xf numFmtId="0" fontId="17" fillId="0" borderId="89" xfId="0" applyFont="1" applyBorder="1" applyAlignment="1">
      <alignment horizontal="right" vertical="center" wrapText="1"/>
    </xf>
    <xf numFmtId="0" fontId="17" fillId="0" borderId="92" xfId="0" applyFont="1" applyBorder="1" applyAlignment="1">
      <alignment horizontal="right" vertical="center" wrapText="1"/>
    </xf>
    <xf numFmtId="0" fontId="7" fillId="0" borderId="46" xfId="1" applyFont="1" applyBorder="1" applyAlignment="1">
      <alignment vertical="center"/>
    </xf>
    <xf numFmtId="0" fontId="7" fillId="0" borderId="47" xfId="1" applyFont="1" applyBorder="1" applyAlignment="1">
      <alignment vertical="center"/>
    </xf>
    <xf numFmtId="9" fontId="7" fillId="0" borderId="68" xfId="1" applyNumberFormat="1" applyFont="1" applyFill="1" applyBorder="1" applyAlignment="1" applyProtection="1">
      <alignment horizontal="center" vertical="center"/>
    </xf>
    <xf numFmtId="0" fontId="17" fillId="0" borderId="91" xfId="0" applyFont="1" applyBorder="1" applyAlignment="1">
      <alignment horizontal="center" vertical="center" wrapText="1"/>
    </xf>
    <xf numFmtId="0" fontId="17" fillId="0" borderId="39"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69" xfId="0" applyFont="1" applyBorder="1" applyAlignment="1">
      <alignment horizontal="center" vertical="center" wrapText="1"/>
    </xf>
    <xf numFmtId="0" fontId="17" fillId="0" borderId="0" xfId="0" applyFont="1" applyFill="1" applyBorder="1" applyAlignment="1" applyProtection="1">
      <alignment horizontal="center" vertical="center"/>
    </xf>
    <xf numFmtId="0" fontId="17" fillId="0" borderId="44" xfId="0" applyFont="1" applyBorder="1" applyAlignment="1">
      <alignment horizontal="center" vertical="center" wrapText="1"/>
    </xf>
    <xf numFmtId="9" fontId="7" fillId="0" borderId="47" xfId="1" applyNumberFormat="1" applyFont="1" applyFill="1" applyBorder="1" applyAlignment="1" applyProtection="1">
      <alignment horizontal="center" vertical="center"/>
    </xf>
    <xf numFmtId="0" fontId="17" fillId="0" borderId="44" xfId="0" applyFont="1" applyFill="1" applyBorder="1" applyAlignment="1">
      <alignment horizontal="center" vertical="center" wrapText="1"/>
    </xf>
    <xf numFmtId="0" fontId="7" fillId="0" borderId="70" xfId="1" applyFont="1" applyBorder="1" applyAlignment="1">
      <alignment vertical="center"/>
    </xf>
    <xf numFmtId="0" fontId="7" fillId="0" borderId="66" xfId="1" applyFont="1" applyBorder="1" applyAlignment="1">
      <alignment vertical="center"/>
    </xf>
    <xf numFmtId="0" fontId="17" fillId="0" borderId="43" xfId="0" applyFont="1" applyBorder="1" applyAlignment="1">
      <alignment horizontal="center" vertical="center" wrapText="1"/>
    </xf>
    <xf numFmtId="0" fontId="28" fillId="0" borderId="58" xfId="0" applyFont="1" applyBorder="1" applyAlignment="1">
      <alignment horizontal="center" vertical="center" wrapText="1"/>
    </xf>
    <xf numFmtId="0" fontId="17" fillId="0" borderId="66" xfId="1" applyBorder="1" applyAlignment="1">
      <alignment horizontal="center" vertical="center"/>
    </xf>
    <xf numFmtId="0" fontId="17" fillId="0" borderId="0" xfId="1" applyBorder="1" applyAlignment="1">
      <alignment horizontal="center" vertical="center"/>
    </xf>
    <xf numFmtId="0" fontId="17" fillId="0" borderId="47" xfId="1" applyBorder="1" applyAlignment="1">
      <alignment horizontal="center" vertical="center"/>
    </xf>
    <xf numFmtId="0" fontId="0" fillId="0" borderId="0" xfId="0" applyAlignment="1">
      <alignment horizontal="center" vertical="center"/>
    </xf>
    <xf numFmtId="0" fontId="25" fillId="0" borderId="66"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47" xfId="0" applyFont="1" applyFill="1" applyBorder="1" applyAlignment="1" applyProtection="1">
      <alignment horizontal="center" vertical="center"/>
    </xf>
    <xf numFmtId="0" fontId="17" fillId="0" borderId="42" xfId="1" applyBorder="1" applyAlignment="1">
      <alignment horizontal="center" vertical="center"/>
    </xf>
    <xf numFmtId="0" fontId="17" fillId="0" borderId="0" xfId="0" applyFont="1" applyAlignment="1">
      <alignment horizontal="center" vertical="center"/>
    </xf>
    <xf numFmtId="0" fontId="0" fillId="0" borderId="42" xfId="0" applyBorder="1" applyAlignment="1">
      <alignment horizontal="center" vertical="center"/>
    </xf>
    <xf numFmtId="3" fontId="17" fillId="0" borderId="66" xfId="0" applyNumberFormat="1" applyFont="1" applyFill="1" applyBorder="1" applyAlignment="1" applyProtection="1">
      <alignment horizontal="center" vertical="center"/>
    </xf>
    <xf numFmtId="3" fontId="17" fillId="0" borderId="47" xfId="0" applyNumberFormat="1" applyFont="1" applyFill="1" applyBorder="1" applyAlignment="1" applyProtection="1">
      <alignment horizontal="center" vertical="center"/>
    </xf>
    <xf numFmtId="3" fontId="17" fillId="0" borderId="0" xfId="0" applyNumberFormat="1" applyFont="1" applyFill="1" applyBorder="1" applyAlignment="1" applyProtection="1">
      <alignment horizontal="center" vertical="center"/>
    </xf>
    <xf numFmtId="164" fontId="17" fillId="0" borderId="66" xfId="5" applyNumberFormat="1" applyFill="1" applyBorder="1" applyAlignment="1" applyProtection="1">
      <alignment horizontal="center" vertical="center"/>
    </xf>
    <xf numFmtId="164" fontId="17" fillId="0" borderId="0" xfId="5" applyNumberFormat="1" applyFill="1" applyBorder="1" applyAlignment="1" applyProtection="1">
      <alignment horizontal="center" vertical="center"/>
    </xf>
    <xf numFmtId="164" fontId="17" fillId="0" borderId="87" xfId="5" applyNumberFormat="1" applyFont="1" applyFill="1" applyBorder="1" applyAlignment="1" applyProtection="1">
      <alignment horizontal="center" vertical="center"/>
    </xf>
    <xf numFmtId="164" fontId="17" fillId="0" borderId="88" xfId="5" applyNumberFormat="1" applyFont="1" applyFill="1" applyBorder="1" applyAlignment="1" applyProtection="1">
      <alignment horizontal="center" vertical="center"/>
    </xf>
    <xf numFmtId="164" fontId="17" fillId="0" borderId="42" xfId="5" applyNumberFormat="1" applyFill="1" applyBorder="1" applyAlignment="1" applyProtection="1">
      <alignment horizontal="center" vertical="center"/>
    </xf>
    <xf numFmtId="164" fontId="17" fillId="0" borderId="86" xfId="5" applyNumberFormat="1" applyFont="1" applyFill="1" applyBorder="1" applyAlignment="1" applyProtection="1">
      <alignment horizontal="center" vertical="center"/>
    </xf>
    <xf numFmtId="164" fontId="0" fillId="0" borderId="0" xfId="0" applyNumberFormat="1" applyAlignment="1">
      <alignment horizontal="center" vertical="center"/>
    </xf>
    <xf numFmtId="169" fontId="17" fillId="0" borderId="66" xfId="0" applyNumberFormat="1" applyFont="1" applyFill="1" applyBorder="1" applyAlignment="1" applyProtection="1">
      <alignment horizontal="center" vertical="center"/>
    </xf>
    <xf numFmtId="169" fontId="17" fillId="0" borderId="47" xfId="0" applyNumberFormat="1" applyFont="1" applyFill="1" applyBorder="1" applyAlignment="1" applyProtection="1">
      <alignment horizontal="center" vertical="center"/>
    </xf>
    <xf numFmtId="169" fontId="17" fillId="0" borderId="0" xfId="0" applyNumberFormat="1" applyFont="1" applyFill="1" applyBorder="1" applyAlignment="1" applyProtection="1">
      <alignment horizontal="center" vertical="center"/>
    </xf>
    <xf numFmtId="4" fontId="17" fillId="14" borderId="31" xfId="0" applyNumberFormat="1" applyFont="1" applyFill="1" applyBorder="1" applyAlignment="1" applyProtection="1">
      <alignment vertical="center"/>
    </xf>
    <xf numFmtId="0" fontId="19" fillId="0" borderId="0" xfId="0" applyFont="1"/>
    <xf numFmtId="2" fontId="19" fillId="0" borderId="0" xfId="0" applyNumberFormat="1" applyFont="1" applyBorder="1"/>
    <xf numFmtId="0" fontId="19" fillId="0" borderId="0" xfId="0" applyFont="1" applyAlignment="1">
      <alignment horizontal="right"/>
    </xf>
    <xf numFmtId="0" fontId="19" fillId="0" borderId="0" xfId="0" applyFont="1" applyBorder="1"/>
    <xf numFmtId="0" fontId="19" fillId="0" borderId="0" xfId="0" applyFont="1" applyFill="1" applyBorder="1" applyProtection="1"/>
    <xf numFmtId="2" fontId="19" fillId="0" borderId="87" xfId="0" applyNumberFormat="1" applyFont="1" applyBorder="1" applyAlignment="1">
      <alignment horizontal="center"/>
    </xf>
    <xf numFmtId="0" fontId="19" fillId="0" borderId="24" xfId="0" applyFont="1" applyFill="1" applyBorder="1" applyProtection="1"/>
    <xf numFmtId="0" fontId="29" fillId="0" borderId="23" xfId="0" applyFont="1" applyBorder="1" applyAlignment="1" applyProtection="1">
      <alignment horizontal="center" vertical="center"/>
      <protection locked="0"/>
    </xf>
    <xf numFmtId="0" fontId="4" fillId="17" borderId="19" xfId="0" applyFont="1" applyFill="1" applyBorder="1" applyAlignment="1" applyProtection="1">
      <alignment horizontal="center" vertical="center" wrapText="1"/>
      <protection locked="0"/>
    </xf>
    <xf numFmtId="3" fontId="4" fillId="17" borderId="12" xfId="0" applyNumberFormat="1" applyFont="1" applyFill="1" applyBorder="1" applyAlignment="1" applyProtection="1">
      <alignment horizontal="center" vertical="center" wrapText="1"/>
      <protection locked="0"/>
    </xf>
    <xf numFmtId="9" fontId="4" fillId="17" borderId="12" xfId="5" applyFont="1" applyFill="1" applyBorder="1" applyAlignment="1" applyProtection="1">
      <alignment horizontal="center" vertical="center" wrapText="1"/>
      <protection locked="0"/>
    </xf>
    <xf numFmtId="3" fontId="10" fillId="0" borderId="13" xfId="3" applyNumberFormat="1" applyFont="1" applyBorder="1" applyAlignment="1" applyProtection="1">
      <alignment vertical="center"/>
    </xf>
    <xf numFmtId="0" fontId="19" fillId="0" borderId="24" xfId="0" applyFont="1" applyFill="1" applyBorder="1" applyAlignment="1" applyProtection="1">
      <alignment horizontal="center"/>
    </xf>
    <xf numFmtId="0" fontId="19" fillId="0" borderId="24" xfId="0" applyFont="1" applyFill="1" applyBorder="1" applyAlignment="1">
      <alignment horizontal="center"/>
    </xf>
    <xf numFmtId="0" fontId="19" fillId="0" borderId="22" xfId="0" applyFont="1" applyFill="1" applyBorder="1" applyAlignment="1" applyProtection="1">
      <alignment horizontal="right"/>
    </xf>
    <xf numFmtId="0" fontId="19" fillId="0" borderId="24" xfId="0" applyFont="1" applyFill="1" applyBorder="1" applyAlignment="1" applyProtection="1">
      <alignment horizontal="right"/>
    </xf>
    <xf numFmtId="0" fontId="19" fillId="0" borderId="22" xfId="0" applyFont="1" applyBorder="1" applyAlignment="1">
      <alignment horizontal="right"/>
    </xf>
    <xf numFmtId="0" fontId="19" fillId="0" borderId="24" xfId="0" applyFont="1" applyBorder="1" applyAlignment="1">
      <alignment horizontal="center"/>
    </xf>
    <xf numFmtId="10" fontId="19" fillId="0" borderId="12" xfId="5" applyNumberFormat="1" applyFont="1" applyBorder="1" applyAlignment="1">
      <alignment horizontal="center"/>
    </xf>
    <xf numFmtId="9" fontId="19" fillId="0" borderId="12" xfId="5" applyFont="1" applyBorder="1" applyAlignment="1">
      <alignment horizontal="center"/>
    </xf>
    <xf numFmtId="3" fontId="19" fillId="0" borderId="12" xfId="0" applyNumberFormat="1" applyFont="1" applyBorder="1" applyAlignment="1">
      <alignment horizontal="center"/>
    </xf>
    <xf numFmtId="9" fontId="7" fillId="16" borderId="68" xfId="1" applyNumberFormat="1" applyFont="1" applyFill="1" applyBorder="1" applyAlignment="1" applyProtection="1">
      <alignment horizontal="left" vertical="center"/>
      <protection locked="0"/>
    </xf>
    <xf numFmtId="167" fontId="5" fillId="18" borderId="68" xfId="0" applyNumberFormat="1" applyFont="1" applyFill="1" applyBorder="1" applyAlignment="1" applyProtection="1">
      <alignment vertical="center" wrapText="1"/>
      <protection locked="0"/>
    </xf>
    <xf numFmtId="167" fontId="5" fillId="18" borderId="74" xfId="0" applyNumberFormat="1" applyFont="1" applyFill="1" applyBorder="1" applyAlignment="1" applyProtection="1">
      <alignment vertical="center" wrapText="1"/>
      <protection locked="0"/>
    </xf>
    <xf numFmtId="167" fontId="5" fillId="18" borderId="60" xfId="0" applyNumberFormat="1" applyFont="1" applyFill="1" applyBorder="1" applyAlignment="1" applyProtection="1">
      <alignment vertical="center" wrapText="1"/>
      <protection locked="0"/>
    </xf>
    <xf numFmtId="167" fontId="5" fillId="15" borderId="75" xfId="0" applyNumberFormat="1" applyFont="1" applyFill="1" applyBorder="1" applyAlignment="1" applyProtection="1">
      <alignment vertical="center" wrapText="1"/>
      <protection locked="0"/>
    </xf>
    <xf numFmtId="167" fontId="5" fillId="18" borderId="85" xfId="0" applyNumberFormat="1" applyFont="1" applyFill="1" applyBorder="1" applyAlignment="1" applyProtection="1">
      <alignment vertical="center" wrapText="1"/>
      <protection locked="0"/>
    </xf>
    <xf numFmtId="167" fontId="5" fillId="17" borderId="76" xfId="0" applyNumberFormat="1" applyFont="1" applyFill="1" applyBorder="1" applyAlignment="1" applyProtection="1">
      <alignment vertical="center" wrapText="1"/>
      <protection locked="0"/>
    </xf>
    <xf numFmtId="167" fontId="5" fillId="15" borderId="74" xfId="0" applyNumberFormat="1" applyFont="1" applyFill="1" applyBorder="1" applyAlignment="1" applyProtection="1">
      <alignment vertical="center" wrapText="1"/>
      <protection locked="0"/>
    </xf>
    <xf numFmtId="167" fontId="5" fillId="17" borderId="75" xfId="0" applyNumberFormat="1" applyFont="1" applyFill="1" applyBorder="1" applyAlignment="1" applyProtection="1">
      <alignment vertical="center" wrapText="1"/>
      <protection locked="0"/>
    </xf>
    <xf numFmtId="167" fontId="5" fillId="19" borderId="76" xfId="0" applyNumberFormat="1" applyFont="1" applyFill="1" applyBorder="1" applyAlignment="1" applyProtection="1">
      <alignment vertical="center" wrapText="1"/>
      <protection locked="0"/>
    </xf>
    <xf numFmtId="166" fontId="7" fillId="16" borderId="8" xfId="1" applyNumberFormat="1" applyFont="1" applyFill="1" applyBorder="1" applyAlignment="1" applyProtection="1">
      <alignment horizontal="center" vertical="center"/>
      <protection locked="0"/>
    </xf>
    <xf numFmtId="9" fontId="17" fillId="16" borderId="50" xfId="0" applyNumberFormat="1" applyFont="1" applyFill="1" applyBorder="1" applyAlignment="1" applyProtection="1">
      <alignment horizontal="center"/>
      <protection locked="0"/>
    </xf>
    <xf numFmtId="9" fontId="17" fillId="16" borderId="49" xfId="0" applyNumberFormat="1" applyFont="1" applyFill="1" applyBorder="1" applyAlignment="1" applyProtection="1">
      <alignment horizontal="center" vertical="center"/>
      <protection locked="0"/>
    </xf>
    <xf numFmtId="9" fontId="17" fillId="16" borderId="48" xfId="0" applyNumberFormat="1" applyFont="1" applyFill="1" applyBorder="1" applyAlignment="1" applyProtection="1">
      <alignment horizontal="center"/>
      <protection locked="0"/>
    </xf>
    <xf numFmtId="4" fontId="17" fillId="16" borderId="58" xfId="0" applyNumberFormat="1" applyFont="1" applyFill="1" applyBorder="1" applyAlignment="1" applyProtection="1">
      <alignment horizontal="center" vertical="center"/>
      <protection locked="0"/>
    </xf>
    <xf numFmtId="4" fontId="17" fillId="16" borderId="50" xfId="0" applyNumberFormat="1" applyFont="1" applyFill="1" applyBorder="1" applyAlignment="1" applyProtection="1">
      <alignment vertical="center"/>
      <protection locked="0"/>
    </xf>
    <xf numFmtId="4" fontId="17" fillId="16" borderId="48" xfId="0" applyNumberFormat="1" applyFont="1" applyFill="1" applyBorder="1" applyAlignment="1" applyProtection="1">
      <alignment vertical="center"/>
      <protection locked="0"/>
    </xf>
    <xf numFmtId="4" fontId="17" fillId="16" borderId="55" xfId="0" applyNumberFormat="1" applyFont="1" applyFill="1" applyBorder="1" applyAlignment="1" applyProtection="1">
      <alignment vertical="center"/>
      <protection locked="0"/>
    </xf>
    <xf numFmtId="2" fontId="17" fillId="16" borderId="69" xfId="0" applyNumberFormat="1" applyFont="1" applyFill="1" applyBorder="1" applyAlignment="1" applyProtection="1">
      <alignment horizontal="center" vertical="center"/>
      <protection locked="0"/>
    </xf>
    <xf numFmtId="3" fontId="17" fillId="16" borderId="91" xfId="0" applyNumberFormat="1" applyFont="1" applyFill="1" applyBorder="1" applyAlignment="1" applyProtection="1">
      <alignment horizontal="center" vertical="center"/>
      <protection locked="0"/>
    </xf>
    <xf numFmtId="3" fontId="17" fillId="16" borderId="62" xfId="0" applyNumberFormat="1" applyFont="1" applyFill="1" applyBorder="1" applyAlignment="1" applyProtection="1">
      <alignment horizontal="center" vertical="center"/>
      <protection locked="0"/>
    </xf>
    <xf numFmtId="4" fontId="17" fillId="16" borderId="50" xfId="0" applyNumberFormat="1" applyFont="1" applyFill="1" applyBorder="1" applyAlignment="1" applyProtection="1">
      <alignment horizontal="center" vertical="center"/>
      <protection locked="0"/>
    </xf>
    <xf numFmtId="4" fontId="17" fillId="16" borderId="48" xfId="0" applyNumberFormat="1" applyFont="1" applyFill="1" applyBorder="1" applyAlignment="1" applyProtection="1">
      <alignment horizontal="center" vertical="center"/>
      <protection locked="0"/>
    </xf>
    <xf numFmtId="4" fontId="17" fillId="16" borderId="55" xfId="0" applyNumberFormat="1" applyFont="1" applyFill="1" applyBorder="1" applyAlignment="1" applyProtection="1">
      <alignment horizontal="center" vertical="center"/>
      <protection locked="0"/>
    </xf>
    <xf numFmtId="0" fontId="19" fillId="0" borderId="35" xfId="0" applyFont="1" applyFill="1" applyBorder="1" applyProtection="1"/>
    <xf numFmtId="0" fontId="4" fillId="0" borderId="22" xfId="0" applyFont="1" applyFill="1" applyBorder="1" applyAlignment="1" applyProtection="1">
      <alignment horizontal="right"/>
    </xf>
    <xf numFmtId="3" fontId="19" fillId="0" borderId="98" xfId="0" applyNumberFormat="1" applyFont="1" applyBorder="1" applyAlignment="1">
      <alignment vertical="center"/>
    </xf>
    <xf numFmtId="3" fontId="19" fillId="0" borderId="25" xfId="0" applyNumberFormat="1" applyFont="1" applyBorder="1" applyAlignment="1">
      <alignment vertical="center"/>
    </xf>
    <xf numFmtId="0" fontId="4" fillId="17" borderId="16" xfId="3" applyFont="1" applyFill="1" applyBorder="1" applyAlignment="1" applyProtection="1">
      <alignment horizontal="center" vertical="center" wrapText="1"/>
      <protection locked="0"/>
    </xf>
    <xf numFmtId="0" fontId="4" fillId="17" borderId="17" xfId="3" applyFont="1" applyFill="1" applyBorder="1" applyAlignment="1" applyProtection="1">
      <alignment horizontal="center" vertical="center" wrapText="1"/>
      <protection locked="0"/>
    </xf>
    <xf numFmtId="1" fontId="4" fillId="17" borderId="23" xfId="3" applyNumberFormat="1" applyFont="1" applyFill="1" applyBorder="1" applyAlignment="1" applyProtection="1">
      <alignment horizontal="center" vertical="center" wrapText="1"/>
      <protection locked="0"/>
    </xf>
    <xf numFmtId="1" fontId="4" fillId="17" borderId="12" xfId="3" applyNumberFormat="1" applyFont="1" applyFill="1" applyBorder="1" applyAlignment="1" applyProtection="1">
      <alignment horizontal="center" vertical="center" wrapText="1"/>
      <protection locked="0"/>
    </xf>
    <xf numFmtId="165" fontId="4" fillId="17" borderId="37" xfId="3" applyNumberFormat="1" applyFont="1" applyFill="1" applyBorder="1" applyAlignment="1" applyProtection="1">
      <alignment horizontal="center" vertical="center" wrapText="1"/>
      <protection locked="0"/>
    </xf>
    <xf numFmtId="165" fontId="4" fillId="17" borderId="23" xfId="3" applyNumberFormat="1" applyFont="1" applyFill="1" applyBorder="1" applyAlignment="1" applyProtection="1">
      <alignment horizontal="center" vertical="center" wrapText="1"/>
      <protection locked="0"/>
    </xf>
    <xf numFmtId="1" fontId="4" fillId="17" borderId="25" xfId="3" applyNumberFormat="1" applyFont="1" applyFill="1" applyBorder="1" applyAlignment="1" applyProtection="1">
      <alignment horizontal="center" vertical="center" wrapText="1"/>
      <protection locked="0"/>
    </xf>
    <xf numFmtId="3" fontId="10" fillId="17" borderId="12" xfId="0" applyNumberFormat="1" applyFont="1" applyFill="1" applyBorder="1" applyAlignment="1" applyProtection="1">
      <protection locked="0"/>
    </xf>
    <xf numFmtId="0" fontId="7" fillId="0" borderId="89" xfId="1" applyFont="1" applyBorder="1" applyAlignment="1">
      <alignment horizontal="right" vertical="center"/>
    </xf>
    <xf numFmtId="3" fontId="19" fillId="16" borderId="23" xfId="0" applyNumberFormat="1" applyFont="1" applyFill="1" applyBorder="1" applyProtection="1">
      <protection locked="0"/>
    </xf>
    <xf numFmtId="3" fontId="19" fillId="16" borderId="12" xfId="0" applyNumberFormat="1" applyFont="1" applyFill="1" applyBorder="1" applyProtection="1">
      <protection locked="0"/>
    </xf>
    <xf numFmtId="3" fontId="19" fillId="16" borderId="13" xfId="0" applyNumberFormat="1" applyFont="1" applyFill="1" applyBorder="1" applyProtection="1">
      <protection locked="0"/>
    </xf>
    <xf numFmtId="3" fontId="10" fillId="0" borderId="13" xfId="0" applyNumberFormat="1" applyFont="1" applyFill="1" applyBorder="1" applyAlignment="1" applyProtection="1">
      <alignment horizontal="right" vertical="center"/>
    </xf>
    <xf numFmtId="3" fontId="10" fillId="17" borderId="12" xfId="3" applyNumberFormat="1" applyFont="1" applyFill="1" applyBorder="1" applyAlignment="1" applyProtection="1">
      <protection locked="0"/>
    </xf>
    <xf numFmtId="3" fontId="10" fillId="17" borderId="25" xfId="1" applyNumberFormat="1" applyFont="1" applyFill="1" applyBorder="1" applyAlignment="1" applyProtection="1">
      <protection locked="0"/>
    </xf>
    <xf numFmtId="3" fontId="4" fillId="0" borderId="32" xfId="3" applyNumberFormat="1" applyFont="1" applyBorder="1" applyAlignment="1" applyProtection="1"/>
    <xf numFmtId="2" fontId="10" fillId="12" borderId="0" xfId="3" applyNumberFormat="1" applyFont="1" applyFill="1" applyBorder="1" applyAlignment="1" applyProtection="1"/>
    <xf numFmtId="3" fontId="10" fillId="17" borderId="13" xfId="3" applyNumberFormat="1" applyFont="1" applyFill="1" applyBorder="1" applyAlignment="1" applyProtection="1">
      <protection locked="0"/>
    </xf>
    <xf numFmtId="3" fontId="4" fillId="17" borderId="12" xfId="3" applyNumberFormat="1" applyFont="1" applyFill="1" applyBorder="1" applyAlignment="1" applyProtection="1">
      <protection locked="0"/>
    </xf>
    <xf numFmtId="3" fontId="4" fillId="17" borderId="37" xfId="3" applyNumberFormat="1" applyFont="1" applyFill="1" applyBorder="1" applyAlignment="1" applyProtection="1">
      <protection locked="0"/>
    </xf>
    <xf numFmtId="3" fontId="10" fillId="0" borderId="32" xfId="3" applyNumberFormat="1" applyFont="1" applyBorder="1" applyAlignment="1" applyProtection="1"/>
    <xf numFmtId="3" fontId="10" fillId="17" borderId="37" xfId="3" applyNumberFormat="1" applyFont="1" applyFill="1" applyBorder="1" applyAlignment="1" applyProtection="1">
      <protection locked="0"/>
    </xf>
    <xf numFmtId="3" fontId="4" fillId="0" borderId="77" xfId="3" applyNumberFormat="1" applyFont="1" applyBorder="1" applyAlignment="1" applyProtection="1"/>
    <xf numFmtId="3" fontId="10" fillId="17" borderId="81" xfId="3" applyNumberFormat="1" applyFont="1" applyFill="1" applyBorder="1" applyAlignment="1" applyProtection="1">
      <protection locked="0"/>
    </xf>
    <xf numFmtId="0" fontId="10" fillId="0" borderId="0" xfId="3" applyFont="1" applyProtection="1"/>
    <xf numFmtId="0" fontId="10" fillId="0" borderId="0" xfId="3" applyFont="1" applyAlignment="1" applyProtection="1"/>
    <xf numFmtId="0" fontId="10" fillId="0" borderId="28" xfId="3" applyFont="1" applyBorder="1" applyAlignment="1">
      <alignment wrapText="1"/>
    </xf>
    <xf numFmtId="4" fontId="17" fillId="0" borderId="26" xfId="3" applyNumberFormat="1" applyBorder="1" applyProtection="1"/>
    <xf numFmtId="0" fontId="4" fillId="0" borderId="38" xfId="0" applyFont="1" applyFill="1" applyBorder="1" applyAlignment="1" applyProtection="1">
      <alignment horizontal="right" vertical="center" wrapText="1"/>
    </xf>
    <xf numFmtId="2" fontId="2" fillId="0" borderId="0" xfId="7" applyNumberFormat="1"/>
    <xf numFmtId="2" fontId="2" fillId="0" borderId="0" xfId="7" applyNumberFormat="1" applyAlignment="1">
      <alignment horizontal="center"/>
    </xf>
    <xf numFmtId="0" fontId="2" fillId="0" borderId="0" xfId="7"/>
    <xf numFmtId="9" fontId="2" fillId="0" borderId="0" xfId="7" applyNumberFormat="1"/>
    <xf numFmtId="170" fontId="32" fillId="3" borderId="76" xfId="7" applyNumberFormat="1" applyFont="1" applyFill="1" applyBorder="1" applyAlignment="1">
      <alignment horizontal="center"/>
    </xf>
    <xf numFmtId="170" fontId="32" fillId="3" borderId="74" xfId="7" applyNumberFormat="1" applyFont="1" applyFill="1" applyBorder="1" applyAlignment="1">
      <alignment horizontal="center"/>
    </xf>
    <xf numFmtId="9" fontId="20" fillId="3" borderId="48" xfId="5" applyFont="1" applyFill="1" applyBorder="1" applyAlignment="1">
      <alignment horizontal="center" vertical="center"/>
    </xf>
    <xf numFmtId="4" fontId="33" fillId="3" borderId="51" xfId="7" applyNumberFormat="1" applyFont="1" applyFill="1" applyBorder="1" applyAlignment="1">
      <alignment horizontal="center" vertical="center"/>
    </xf>
    <xf numFmtId="2" fontId="33" fillId="3" borderId="50" xfId="7" applyNumberFormat="1" applyFont="1" applyFill="1" applyBorder="1" applyAlignment="1">
      <alignment horizontal="center" vertical="center"/>
    </xf>
    <xf numFmtId="3" fontId="32" fillId="3" borderId="43" xfId="7" applyNumberFormat="1" applyFont="1" applyFill="1" applyBorder="1" applyAlignment="1">
      <alignment horizontal="center" vertical="center" wrapText="1"/>
    </xf>
    <xf numFmtId="3" fontId="32" fillId="3" borderId="58" xfId="7" applyNumberFormat="1" applyFont="1" applyFill="1" applyBorder="1" applyAlignment="1">
      <alignment horizontal="center" vertical="center" wrapText="1"/>
    </xf>
    <xf numFmtId="3" fontId="2" fillId="3" borderId="102" xfId="7" applyNumberFormat="1" applyFill="1" applyBorder="1" applyAlignment="1">
      <alignment horizontal="center" vertical="center"/>
    </xf>
    <xf numFmtId="3" fontId="2" fillId="3" borderId="105" xfId="7" applyNumberFormat="1" applyFill="1" applyBorder="1" applyAlignment="1">
      <alignment horizontal="center" vertical="center"/>
    </xf>
    <xf numFmtId="2" fontId="34" fillId="0" borderId="0" xfId="7" applyNumberFormat="1" applyFont="1"/>
    <xf numFmtId="0" fontId="35" fillId="0" borderId="0" xfId="7" applyFont="1" applyAlignment="1">
      <alignment horizontal="center" vertical="top" wrapText="1"/>
    </xf>
    <xf numFmtId="2" fontId="2" fillId="0" borderId="58" xfId="7" applyNumberFormat="1" applyBorder="1" applyAlignment="1">
      <alignment horizontal="center"/>
    </xf>
    <xf numFmtId="2" fontId="32" fillId="20" borderId="58" xfId="7" applyNumberFormat="1" applyFont="1" applyFill="1" applyBorder="1" applyAlignment="1">
      <alignment horizontal="center"/>
    </xf>
    <xf numFmtId="0" fontId="17" fillId="0" borderId="21" xfId="3" applyBorder="1" applyAlignment="1">
      <alignment horizontal="right" vertical="center" wrapText="1"/>
    </xf>
    <xf numFmtId="9" fontId="0" fillId="0" borderId="85" xfId="8" applyFont="1" applyBorder="1" applyAlignment="1">
      <alignment horizontal="center" vertical="center"/>
    </xf>
    <xf numFmtId="2" fontId="2" fillId="0" borderId="93" xfId="7" applyNumberFormat="1" applyBorder="1" applyAlignment="1">
      <alignment horizontal="center" vertical="center"/>
    </xf>
    <xf numFmtId="9" fontId="0" fillId="0" borderId="68" xfId="8" applyFont="1" applyBorder="1" applyAlignment="1">
      <alignment horizontal="center" vertical="center"/>
    </xf>
    <xf numFmtId="2" fontId="2" fillId="0" borderId="89" xfId="7" applyNumberFormat="1" applyBorder="1" applyAlignment="1">
      <alignment horizontal="center" vertical="center"/>
    </xf>
    <xf numFmtId="0" fontId="17" fillId="0" borderId="21" xfId="3" applyBorder="1" applyAlignment="1">
      <alignment horizontal="right"/>
    </xf>
    <xf numFmtId="0" fontId="2" fillId="0" borderId="43" xfId="7" applyBorder="1" applyAlignment="1">
      <alignment horizontal="center"/>
    </xf>
    <xf numFmtId="2" fontId="2" fillId="0" borderId="70" xfId="7" applyNumberFormat="1" applyBorder="1" applyAlignment="1">
      <alignment horizontal="center"/>
    </xf>
    <xf numFmtId="3" fontId="17" fillId="0" borderId="76" xfId="3" applyNumberFormat="1" applyBorder="1"/>
    <xf numFmtId="3" fontId="17" fillId="21" borderId="38" xfId="3" applyNumberFormat="1" applyFill="1" applyBorder="1" applyAlignment="1" applyProtection="1">
      <alignment horizontal="center"/>
      <protection locked="0"/>
    </xf>
    <xf numFmtId="0" fontId="38" fillId="22" borderId="76" xfId="7" applyFont="1" applyFill="1" applyBorder="1" applyAlignment="1" applyProtection="1">
      <alignment horizontal="center"/>
      <protection locked="0"/>
    </xf>
    <xf numFmtId="0" fontId="38" fillId="22" borderId="25" xfId="7" applyFont="1" applyFill="1" applyBorder="1" applyAlignment="1" applyProtection="1">
      <alignment horizontal="center"/>
      <protection locked="0"/>
    </xf>
    <xf numFmtId="0" fontId="38" fillId="22" borderId="38" xfId="7" applyFont="1" applyFill="1" applyBorder="1" applyProtection="1">
      <protection locked="0"/>
    </xf>
    <xf numFmtId="3" fontId="17" fillId="23" borderId="76" xfId="3" applyNumberFormat="1" applyFill="1" applyBorder="1" applyAlignment="1" applyProtection="1">
      <alignment horizontal="center"/>
      <protection locked="0"/>
    </xf>
    <xf numFmtId="3" fontId="17" fillId="23" borderId="38" xfId="3" applyNumberFormat="1" applyFill="1" applyBorder="1" applyAlignment="1" applyProtection="1">
      <alignment horizontal="center"/>
      <protection locked="0"/>
    </xf>
    <xf numFmtId="0" fontId="39" fillId="0" borderId="38" xfId="7" applyFont="1" applyBorder="1"/>
    <xf numFmtId="3" fontId="17" fillId="0" borderId="75" xfId="3" applyNumberFormat="1" applyBorder="1"/>
    <xf numFmtId="3" fontId="17" fillId="21" borderId="24" xfId="3" applyNumberFormat="1" applyFill="1" applyBorder="1" applyAlignment="1" applyProtection="1">
      <alignment horizontal="center"/>
      <protection locked="0"/>
    </xf>
    <xf numFmtId="0" fontId="38" fillId="22" borderId="75" xfId="7" applyFont="1" applyFill="1" applyBorder="1" applyAlignment="1" applyProtection="1">
      <alignment horizontal="center"/>
      <protection locked="0"/>
    </xf>
    <xf numFmtId="0" fontId="38" fillId="22" borderId="37" xfId="7" applyFont="1" applyFill="1" applyBorder="1" applyAlignment="1" applyProtection="1">
      <alignment horizontal="center"/>
      <protection locked="0"/>
    </xf>
    <xf numFmtId="0" fontId="38" fillId="22" borderId="84" xfId="7" applyFont="1" applyFill="1" applyBorder="1" applyProtection="1">
      <protection locked="0"/>
    </xf>
    <xf numFmtId="3" fontId="17" fillId="23" borderId="75" xfId="3" applyNumberFormat="1" applyFill="1" applyBorder="1" applyAlignment="1" applyProtection="1">
      <alignment horizontal="center"/>
      <protection locked="0"/>
    </xf>
    <xf numFmtId="3" fontId="17" fillId="23" borderId="24" xfId="3" applyNumberFormat="1" applyFill="1" applyBorder="1" applyAlignment="1" applyProtection="1">
      <alignment horizontal="center"/>
      <protection locked="0"/>
    </xf>
    <xf numFmtId="0" fontId="39" fillId="0" borderId="84" xfId="7" applyFont="1" applyBorder="1"/>
    <xf numFmtId="0" fontId="38" fillId="22" borderId="12" xfId="7" applyFont="1" applyFill="1" applyBorder="1" applyAlignment="1" applyProtection="1">
      <alignment horizontal="center"/>
      <protection locked="0"/>
    </xf>
    <xf numFmtId="0" fontId="38" fillId="22" borderId="24" xfId="7" applyFont="1" applyFill="1" applyBorder="1" applyProtection="1">
      <protection locked="0"/>
    </xf>
    <xf numFmtId="0" fontId="39" fillId="0" borderId="24" xfId="7" applyFont="1" applyBorder="1"/>
    <xf numFmtId="3" fontId="17" fillId="23" borderId="74" xfId="3" applyNumberFormat="1" applyFill="1" applyBorder="1" applyAlignment="1" applyProtection="1">
      <alignment horizontal="center"/>
      <protection locked="0"/>
    </xf>
    <xf numFmtId="3" fontId="17" fillId="23" borderId="22" xfId="3" applyNumberFormat="1" applyFill="1" applyBorder="1" applyAlignment="1" applyProtection="1">
      <alignment horizontal="center"/>
      <protection locked="0"/>
    </xf>
    <xf numFmtId="3" fontId="17" fillId="0" borderId="105" xfId="3" applyNumberFormat="1" applyBorder="1"/>
    <xf numFmtId="3" fontId="17" fillId="21" borderId="35" xfId="3" applyNumberFormat="1" applyFill="1" applyBorder="1" applyAlignment="1" applyProtection="1">
      <alignment horizontal="center"/>
      <protection locked="0"/>
    </xf>
    <xf numFmtId="0" fontId="22" fillId="0" borderId="91" xfId="3" applyFont="1" applyBorder="1" applyAlignment="1">
      <alignment horizontal="left" vertical="center"/>
    </xf>
    <xf numFmtId="0" fontId="38" fillId="22" borderId="74" xfId="7" applyFont="1" applyFill="1" applyBorder="1" applyAlignment="1" applyProtection="1">
      <alignment horizontal="center"/>
      <protection locked="0"/>
    </xf>
    <xf numFmtId="0" fontId="38" fillId="22" borderId="23" xfId="7" applyFont="1" applyFill="1" applyBorder="1" applyAlignment="1" applyProtection="1">
      <alignment horizontal="center"/>
      <protection locked="0"/>
    </xf>
    <xf numFmtId="0" fontId="2" fillId="0" borderId="58" xfId="7" applyBorder="1" applyAlignment="1">
      <alignment horizontal="center" vertical="center"/>
    </xf>
    <xf numFmtId="0" fontId="7" fillId="0" borderId="69" xfId="3" applyFont="1" applyBorder="1" applyAlignment="1">
      <alignment horizontal="center" vertical="center" wrapText="1"/>
    </xf>
    <xf numFmtId="0" fontId="7" fillId="0" borderId="21" xfId="3" applyFont="1" applyBorder="1" applyAlignment="1">
      <alignment horizontal="center" vertical="center" wrapText="1"/>
    </xf>
    <xf numFmtId="0" fontId="17" fillId="0" borderId="0" xfId="3" applyAlignment="1">
      <alignment vertical="center"/>
    </xf>
    <xf numFmtId="2" fontId="17" fillId="0" borderId="0" xfId="3" applyNumberFormat="1"/>
    <xf numFmtId="9" fontId="17" fillId="0" borderId="0" xfId="3" applyNumberFormat="1" applyAlignment="1">
      <alignment horizontal="center"/>
    </xf>
    <xf numFmtId="0" fontId="7" fillId="0" borderId="0" xfId="3" applyFont="1" applyAlignment="1">
      <alignment horizontal="center" vertical="center"/>
    </xf>
    <xf numFmtId="0" fontId="17" fillId="0" borderId="47" xfId="3" applyBorder="1"/>
    <xf numFmtId="9" fontId="17" fillId="0" borderId="47" xfId="3" applyNumberFormat="1" applyBorder="1" applyAlignment="1">
      <alignment horizontal="center"/>
    </xf>
    <xf numFmtId="0" fontId="22" fillId="0" borderId="0" xfId="3" applyFont="1" applyAlignment="1">
      <alignment horizontal="left" vertical="center"/>
    </xf>
    <xf numFmtId="9" fontId="22" fillId="23" borderId="12" xfId="5" applyFont="1" applyFill="1" applyBorder="1" applyAlignment="1" applyProtection="1">
      <alignment horizontal="center" vertical="center"/>
      <protection locked="0"/>
    </xf>
    <xf numFmtId="0" fontId="17" fillId="0" borderId="0" xfId="3" applyAlignment="1">
      <alignment horizontal="center"/>
    </xf>
    <xf numFmtId="0" fontId="17" fillId="0" borderId="44" xfId="3" applyBorder="1"/>
    <xf numFmtId="0" fontId="22" fillId="0" borderId="58" xfId="3" applyFont="1" applyBorder="1" applyAlignment="1">
      <alignment vertical="center"/>
    </xf>
    <xf numFmtId="0" fontId="22" fillId="0" borderId="44" xfId="3" applyFont="1" applyBorder="1" applyAlignment="1">
      <alignment horizontal="left" vertical="center"/>
    </xf>
    <xf numFmtId="0" fontId="22" fillId="23" borderId="0" xfId="3" applyFont="1" applyFill="1" applyAlignment="1" applyProtection="1">
      <alignment horizontal="center" vertical="center"/>
      <protection locked="0"/>
    </xf>
    <xf numFmtId="0" fontId="22" fillId="23" borderId="80" xfId="3" applyFont="1" applyFill="1" applyBorder="1" applyAlignment="1" applyProtection="1">
      <alignment horizontal="center" vertical="center"/>
      <protection locked="0"/>
    </xf>
    <xf numFmtId="0" fontId="22" fillId="23" borderId="62" xfId="3" applyFont="1" applyFill="1" applyBorder="1" applyAlignment="1" applyProtection="1">
      <alignment horizontal="center" vertical="center"/>
      <protection locked="0"/>
    </xf>
    <xf numFmtId="0" fontId="22" fillId="23" borderId="9" xfId="3" applyFont="1" applyFill="1" applyBorder="1" applyAlignment="1" applyProtection="1">
      <alignment horizontal="center" vertical="center"/>
      <protection locked="0"/>
    </xf>
    <xf numFmtId="0" fontId="22" fillId="23" borderId="91" xfId="3" applyFont="1" applyFill="1" applyBorder="1" applyAlignment="1" applyProtection="1">
      <alignment horizontal="center" vertical="center"/>
      <protection locked="0"/>
    </xf>
    <xf numFmtId="0" fontId="17" fillId="0" borderId="0" xfId="3" applyAlignment="1">
      <alignment horizontal="left"/>
    </xf>
    <xf numFmtId="0" fontId="37" fillId="23" borderId="91" xfId="3" applyFont="1" applyFill="1" applyBorder="1" applyAlignment="1" applyProtection="1">
      <alignment horizontal="center" vertical="center"/>
      <protection locked="0"/>
    </xf>
    <xf numFmtId="0" fontId="17" fillId="10" borderId="42" xfId="3" applyFill="1" applyBorder="1" applyAlignment="1">
      <alignment horizontal="left"/>
    </xf>
    <xf numFmtId="0" fontId="17" fillId="10" borderId="40" xfId="3" applyFill="1" applyBorder="1" applyAlignment="1">
      <alignment horizontal="left"/>
    </xf>
    <xf numFmtId="0" fontId="17" fillId="0" borderId="8" xfId="3" applyBorder="1"/>
    <xf numFmtId="0" fontId="17" fillId="3" borderId="58" xfId="3" applyFill="1" applyBorder="1" applyAlignment="1">
      <alignment horizontal="center"/>
    </xf>
    <xf numFmtId="0" fontId="22" fillId="23" borderId="8" xfId="3" applyFont="1" applyFill="1" applyBorder="1" applyAlignment="1" applyProtection="1">
      <alignment horizontal="center" vertical="center"/>
      <protection locked="0"/>
    </xf>
    <xf numFmtId="0" fontId="7" fillId="3" borderId="91" xfId="3" applyFont="1" applyFill="1" applyBorder="1"/>
    <xf numFmtId="0" fontId="7" fillId="3" borderId="65" xfId="3" applyFont="1" applyFill="1" applyBorder="1" applyAlignment="1">
      <alignment horizontal="left" vertical="center"/>
    </xf>
    <xf numFmtId="0" fontId="17" fillId="0" borderId="47" xfId="3" applyBorder="1" applyAlignment="1">
      <alignment horizontal="center" vertical="center"/>
    </xf>
    <xf numFmtId="0" fontId="17" fillId="0" borderId="46" xfId="3" applyBorder="1"/>
    <xf numFmtId="0" fontId="17" fillId="13" borderId="0" xfId="3" applyFill="1" applyAlignment="1">
      <alignment horizontal="center" vertical="center"/>
    </xf>
    <xf numFmtId="0" fontId="17" fillId="0" borderId="26" xfId="3" applyBorder="1" applyAlignment="1">
      <alignment vertical="center" wrapText="1"/>
    </xf>
    <xf numFmtId="0" fontId="17" fillId="0" borderId="0" xfId="3" applyAlignment="1">
      <alignment horizontal="center" vertical="center"/>
    </xf>
    <xf numFmtId="0" fontId="17" fillId="0" borderId="0" xfId="3" applyAlignment="1">
      <alignment vertical="center" wrapText="1"/>
    </xf>
    <xf numFmtId="0" fontId="17" fillId="0" borderId="0" xfId="3" applyAlignment="1">
      <alignment horizontal="center" vertical="center" wrapText="1"/>
    </xf>
    <xf numFmtId="0" fontId="17" fillId="0" borderId="0" xfId="3" applyAlignment="1">
      <alignment wrapText="1"/>
    </xf>
    <xf numFmtId="0" fontId="4" fillId="0" borderId="24" xfId="3" applyFont="1" applyBorder="1" applyAlignment="1">
      <alignment horizontal="center" vertical="center"/>
    </xf>
    <xf numFmtId="0" fontId="4" fillId="0" borderId="22" xfId="3" applyFont="1" applyBorder="1" applyAlignment="1">
      <alignment horizontal="center" vertical="center"/>
    </xf>
    <xf numFmtId="168" fontId="17" fillId="21" borderId="69" xfId="3" quotePrefix="1" applyNumberFormat="1" applyFill="1" applyBorder="1" applyAlignment="1" applyProtection="1">
      <alignment horizontal="center" vertical="center"/>
      <protection locked="0"/>
    </xf>
    <xf numFmtId="0" fontId="7" fillId="3" borderId="40" xfId="3" applyFont="1" applyFill="1" applyBorder="1" applyAlignment="1">
      <alignment horizontal="center"/>
    </xf>
    <xf numFmtId="0" fontId="7" fillId="3" borderId="71" xfId="3" applyFont="1" applyFill="1" applyBorder="1" applyAlignment="1">
      <alignment horizontal="center"/>
    </xf>
    <xf numFmtId="3" fontId="17" fillId="24" borderId="0" xfId="0" applyNumberFormat="1" applyFont="1" applyFill="1" applyBorder="1" applyProtection="1">
      <protection locked="0"/>
    </xf>
    <xf numFmtId="3" fontId="17" fillId="24" borderId="0" xfId="0" applyNumberFormat="1" applyFont="1" applyFill="1" applyBorder="1" applyAlignment="1" applyProtection="1">
      <alignment horizontal="center" vertical="center"/>
      <protection locked="0"/>
    </xf>
    <xf numFmtId="0" fontId="20" fillId="24" borderId="0" xfId="0" applyFont="1" applyFill="1" applyBorder="1" applyProtection="1">
      <protection locked="0"/>
    </xf>
    <xf numFmtId="0" fontId="20" fillId="24" borderId="0" xfId="0" applyFont="1" applyFill="1" applyBorder="1" applyAlignment="1" applyProtection="1">
      <alignment horizontal="center" vertical="center"/>
      <protection locked="0"/>
    </xf>
    <xf numFmtId="3" fontId="17" fillId="24" borderId="70" xfId="0" applyNumberFormat="1" applyFont="1" applyFill="1" applyBorder="1" applyProtection="1">
      <protection locked="0"/>
    </xf>
    <xf numFmtId="3" fontId="17" fillId="24" borderId="66" xfId="0" applyNumberFormat="1" applyFont="1" applyFill="1" applyBorder="1" applyProtection="1">
      <protection locked="0"/>
    </xf>
    <xf numFmtId="3" fontId="17" fillId="24" borderId="66" xfId="0" applyNumberFormat="1" applyFont="1" applyFill="1" applyBorder="1" applyAlignment="1" applyProtection="1">
      <alignment horizontal="center" vertical="center"/>
      <protection locked="0"/>
    </xf>
    <xf numFmtId="0" fontId="20" fillId="24" borderId="66" xfId="0" applyFont="1" applyFill="1" applyBorder="1" applyProtection="1">
      <protection locked="0"/>
    </xf>
    <xf numFmtId="3" fontId="17" fillId="24" borderId="43" xfId="0" applyNumberFormat="1" applyFont="1" applyFill="1" applyBorder="1" applyProtection="1">
      <protection locked="0"/>
    </xf>
    <xf numFmtId="3" fontId="17" fillId="24" borderId="26" xfId="0" applyNumberFormat="1" applyFont="1" applyFill="1" applyBorder="1" applyProtection="1">
      <protection locked="0"/>
    </xf>
    <xf numFmtId="3" fontId="17" fillId="24" borderId="44" xfId="0" applyNumberFormat="1" applyFont="1" applyFill="1" applyBorder="1" applyProtection="1">
      <protection locked="0"/>
    </xf>
    <xf numFmtId="0" fontId="20" fillId="24" borderId="44" xfId="0" applyFont="1" applyFill="1" applyBorder="1" applyProtection="1">
      <protection locked="0"/>
    </xf>
    <xf numFmtId="0" fontId="20" fillId="24" borderId="26" xfId="0" applyFont="1" applyFill="1" applyBorder="1" applyProtection="1">
      <protection locked="0"/>
    </xf>
    <xf numFmtId="0" fontId="20" fillId="24" borderId="46" xfId="0" applyFont="1" applyFill="1" applyBorder="1" applyProtection="1">
      <protection locked="0"/>
    </xf>
    <xf numFmtId="0" fontId="20" fillId="24" borderId="47" xfId="0" applyFont="1" applyFill="1" applyBorder="1" applyProtection="1">
      <protection locked="0"/>
    </xf>
    <xf numFmtId="0" fontId="20" fillId="24" borderId="47" xfId="0" applyFont="1" applyFill="1" applyBorder="1" applyAlignment="1" applyProtection="1">
      <alignment horizontal="center" vertical="center"/>
      <protection locked="0"/>
    </xf>
    <xf numFmtId="0" fontId="20" fillId="24" borderId="39" xfId="0" applyFont="1" applyFill="1" applyBorder="1" applyProtection="1">
      <protection locked="0"/>
    </xf>
    <xf numFmtId="0" fontId="8" fillId="0" borderId="0" xfId="0" applyFont="1" applyAlignment="1">
      <alignment horizontal="right"/>
    </xf>
    <xf numFmtId="0" fontId="8" fillId="24" borderId="0" xfId="0" applyFont="1" applyFill="1" applyProtection="1">
      <protection locked="0"/>
    </xf>
    <xf numFmtId="0" fontId="4" fillId="0" borderId="35" xfId="0" applyFont="1" applyFill="1" applyBorder="1" applyAlignment="1" applyProtection="1">
      <alignment horizontal="center"/>
    </xf>
    <xf numFmtId="0" fontId="7" fillId="3" borderId="66" xfId="3" applyFont="1" applyFill="1" applyBorder="1" applyAlignment="1">
      <alignment horizontal="center"/>
    </xf>
    <xf numFmtId="0" fontId="7" fillId="3" borderId="43" xfId="3" applyFont="1" applyFill="1" applyBorder="1" applyAlignment="1">
      <alignment horizontal="center"/>
    </xf>
    <xf numFmtId="0" fontId="2" fillId="0" borderId="97" xfId="7" applyBorder="1" applyAlignment="1">
      <alignment horizontal="center" vertical="center"/>
    </xf>
    <xf numFmtId="0" fontId="2" fillId="0" borderId="109" xfId="7" applyBorder="1" applyAlignment="1">
      <alignment horizontal="center" vertical="center"/>
    </xf>
    <xf numFmtId="0" fontId="31" fillId="0" borderId="107" xfId="7" applyFont="1" applyBorder="1" applyAlignment="1">
      <alignment horizontal="center" vertical="center"/>
    </xf>
    <xf numFmtId="0" fontId="7" fillId="0" borderId="71" xfId="0" applyFont="1" applyFill="1" applyBorder="1" applyAlignment="1" applyProtection="1">
      <alignment horizontal="center" vertical="center" wrapText="1"/>
    </xf>
    <xf numFmtId="0" fontId="8" fillId="0" borderId="79" xfId="3" applyFont="1" applyBorder="1" applyAlignment="1">
      <alignment horizontal="center" vertical="center"/>
    </xf>
    <xf numFmtId="0" fontId="8" fillId="0" borderId="78" xfId="3" applyFont="1" applyBorder="1" applyAlignment="1">
      <alignment horizontal="center" vertical="center"/>
    </xf>
    <xf numFmtId="3" fontId="11" fillId="0" borderId="110" xfId="3" applyNumberFormat="1" applyFont="1" applyBorder="1" applyAlignment="1">
      <alignment horizontal="left"/>
    </xf>
    <xf numFmtId="0" fontId="4" fillId="0" borderId="0" xfId="0" applyFont="1" applyBorder="1" applyAlignment="1">
      <alignment horizontal="right"/>
    </xf>
    <xf numFmtId="3" fontId="19" fillId="0" borderId="0" xfId="0" applyNumberFormat="1" applyFont="1" applyBorder="1"/>
    <xf numFmtId="4" fontId="17" fillId="0" borderId="0" xfId="3" applyNumberFormat="1" applyBorder="1" applyProtection="1"/>
    <xf numFmtId="0" fontId="17" fillId="25" borderId="0" xfId="3" applyFill="1"/>
    <xf numFmtId="0" fontId="17" fillId="11" borderId="0" xfId="3" applyFill="1"/>
    <xf numFmtId="0" fontId="10" fillId="12" borderId="66" xfId="3" applyFont="1" applyFill="1" applyBorder="1" applyAlignment="1" applyProtection="1"/>
    <xf numFmtId="0" fontId="10" fillId="12" borderId="43" xfId="3" applyFont="1" applyFill="1" applyBorder="1" applyAlignment="1" applyProtection="1"/>
    <xf numFmtId="3" fontId="10" fillId="0" borderId="105" xfId="3" applyNumberFormat="1" applyFont="1" applyBorder="1" applyAlignment="1" applyProtection="1">
      <alignment vertical="center"/>
    </xf>
    <xf numFmtId="3" fontId="10" fillId="0" borderId="105" xfId="0" applyNumberFormat="1" applyFont="1" applyFill="1" applyBorder="1" applyAlignment="1" applyProtection="1">
      <alignment horizontal="right" vertical="center"/>
    </xf>
    <xf numFmtId="0" fontId="30" fillId="25" borderId="28" xfId="0" applyFont="1" applyFill="1" applyBorder="1" applyAlignment="1">
      <alignment horizontal="center"/>
    </xf>
    <xf numFmtId="3" fontId="19" fillId="0" borderId="37" xfId="0" applyNumberFormat="1" applyFont="1" applyBorder="1" applyAlignment="1">
      <alignment horizontal="center"/>
    </xf>
    <xf numFmtId="0" fontId="30" fillId="25" borderId="58" xfId="0" applyFont="1" applyFill="1" applyBorder="1" applyAlignment="1">
      <alignment horizontal="center"/>
    </xf>
    <xf numFmtId="3" fontId="4" fillId="0" borderId="32" xfId="0" applyNumberFormat="1" applyFont="1" applyBorder="1"/>
    <xf numFmtId="0" fontId="19" fillId="0" borderId="84" xfId="0" applyFont="1" applyBorder="1" applyAlignment="1">
      <alignment horizontal="right"/>
    </xf>
    <xf numFmtId="4" fontId="19" fillId="0" borderId="103" xfId="0" applyNumberFormat="1" applyFont="1" applyBorder="1"/>
    <xf numFmtId="4" fontId="4" fillId="0" borderId="45" xfId="0" applyNumberFormat="1" applyFont="1" applyBorder="1" applyAlignment="1">
      <alignment horizontal="center"/>
    </xf>
    <xf numFmtId="4" fontId="4" fillId="0" borderId="71" xfId="0" applyNumberFormat="1" applyFont="1" applyBorder="1" applyAlignment="1">
      <alignment horizontal="center"/>
    </xf>
    <xf numFmtId="3" fontId="13" fillId="4" borderId="32" xfId="3" applyNumberFormat="1" applyFont="1" applyFill="1" applyBorder="1" applyAlignment="1" applyProtection="1">
      <alignment vertical="center"/>
    </xf>
    <xf numFmtId="0" fontId="13" fillId="5" borderId="21" xfId="3" applyFont="1" applyFill="1" applyBorder="1" applyAlignment="1" applyProtection="1">
      <alignment horizontal="center" vertical="center"/>
    </xf>
    <xf numFmtId="3" fontId="13" fillId="5" borderId="32" xfId="3" applyNumberFormat="1" applyFont="1" applyFill="1" applyBorder="1" applyAlignment="1" applyProtection="1">
      <alignment vertical="center"/>
    </xf>
    <xf numFmtId="3" fontId="13" fillId="3" borderId="32" xfId="3" applyNumberFormat="1" applyFont="1" applyFill="1" applyBorder="1" applyAlignment="1" applyProtection="1">
      <alignment vertical="center"/>
    </xf>
    <xf numFmtId="0" fontId="10" fillId="0" borderId="40" xfId="3" applyFont="1" applyBorder="1" applyAlignment="1">
      <alignment horizontal="right" vertical="center"/>
    </xf>
    <xf numFmtId="0" fontId="10" fillId="0" borderId="40" xfId="3" applyFont="1" applyBorder="1" applyAlignment="1">
      <alignment horizontal="right"/>
    </xf>
    <xf numFmtId="0" fontId="3" fillId="15" borderId="58" xfId="3" applyFont="1" applyFill="1" applyBorder="1" applyAlignment="1" applyProtection="1">
      <alignment horizontal="left"/>
      <protection locked="0"/>
    </xf>
    <xf numFmtId="0" fontId="4" fillId="13" borderId="70" xfId="3" applyFont="1" applyFill="1" applyBorder="1" applyAlignment="1">
      <alignment horizontal="left"/>
    </xf>
    <xf numFmtId="0" fontId="19" fillId="3" borderId="35" xfId="3" applyFont="1" applyFill="1" applyBorder="1" applyAlignment="1">
      <alignment horizontal="center" wrapText="1"/>
    </xf>
    <xf numFmtId="0" fontId="19" fillId="25" borderId="35" xfId="0" applyFont="1" applyFill="1" applyBorder="1" applyAlignment="1">
      <alignment horizontal="center" vertical="center" wrapText="1"/>
    </xf>
    <xf numFmtId="0" fontId="19" fillId="0" borderId="35" xfId="3" applyFont="1" applyBorder="1" applyAlignment="1">
      <alignment horizontal="left" wrapText="1"/>
    </xf>
    <xf numFmtId="3" fontId="19" fillId="17" borderId="24" xfId="3" applyNumberFormat="1" applyFont="1" applyFill="1" applyBorder="1" applyProtection="1">
      <protection locked="0"/>
    </xf>
    <xf numFmtId="0" fontId="4" fillId="0" borderId="21" xfId="3" applyFont="1" applyBorder="1" applyAlignment="1">
      <alignment horizontal="center"/>
    </xf>
    <xf numFmtId="0" fontId="4" fillId="13" borderId="26" xfId="3" applyFont="1" applyFill="1" applyBorder="1" applyAlignment="1">
      <alignment horizontal="left"/>
    </xf>
    <xf numFmtId="2" fontId="19" fillId="0" borderId="35" xfId="3" applyNumberFormat="1" applyFont="1" applyBorder="1"/>
    <xf numFmtId="2" fontId="19" fillId="2" borderId="84" xfId="3" applyNumberFormat="1" applyFont="1" applyFill="1" applyBorder="1"/>
    <xf numFmtId="0" fontId="19" fillId="0" borderId="35" xfId="3" applyFont="1" applyBorder="1" applyAlignment="1">
      <alignment horizontal="left"/>
    </xf>
    <xf numFmtId="0" fontId="19" fillId="0" borderId="38" xfId="3" applyFont="1" applyBorder="1" applyAlignment="1">
      <alignment horizontal="left"/>
    </xf>
    <xf numFmtId="2" fontId="19" fillId="0" borderId="24" xfId="3" applyNumberFormat="1" applyFont="1" applyBorder="1"/>
    <xf numFmtId="0" fontId="4" fillId="0" borderId="21" xfId="3" applyFont="1" applyBorder="1" applyAlignment="1">
      <alignment horizontal="center" wrapText="1"/>
    </xf>
    <xf numFmtId="0" fontId="4" fillId="0" borderId="82" xfId="3" applyFont="1" applyBorder="1" applyAlignment="1">
      <alignment horizontal="center"/>
    </xf>
    <xf numFmtId="0" fontId="13" fillId="3" borderId="21" xfId="3" applyFont="1" applyFill="1" applyBorder="1" applyAlignment="1">
      <alignment horizontal="center" vertical="center"/>
    </xf>
    <xf numFmtId="2" fontId="19" fillId="2" borderId="24" xfId="3" applyNumberFormat="1" applyFont="1" applyFill="1" applyBorder="1"/>
    <xf numFmtId="2" fontId="19" fillId="2" borderId="36" xfId="3" applyNumberFormat="1" applyFont="1" applyFill="1" applyBorder="1"/>
    <xf numFmtId="2" fontId="19" fillId="2" borderId="35" xfId="3" applyNumberFormat="1" applyFont="1" applyFill="1" applyBorder="1"/>
    <xf numFmtId="2" fontId="10" fillId="0" borderId="35" xfId="3" applyNumberFormat="1" applyFont="1" applyBorder="1"/>
    <xf numFmtId="2" fontId="10" fillId="0" borderId="24" xfId="3" applyNumberFormat="1" applyFont="1" applyBorder="1"/>
    <xf numFmtId="3" fontId="10" fillId="0" borderId="38" xfId="1" applyNumberFormat="1" applyFont="1" applyBorder="1"/>
    <xf numFmtId="2" fontId="19" fillId="0" borderId="36" xfId="3" applyNumberFormat="1" applyFont="1" applyBorder="1"/>
    <xf numFmtId="0" fontId="19" fillId="0" borderId="24" xfId="3" applyFont="1" applyBorder="1" applyAlignment="1">
      <alignment horizontal="left"/>
    </xf>
    <xf numFmtId="0" fontId="13" fillId="4" borderId="21" xfId="3" applyFont="1" applyFill="1" applyBorder="1" applyAlignment="1">
      <alignment horizontal="center" vertical="center"/>
    </xf>
    <xf numFmtId="0" fontId="3" fillId="0" borderId="58" xfId="3" applyFont="1" applyFill="1" applyBorder="1" applyAlignment="1" applyProtection="1">
      <alignment horizontal="left"/>
    </xf>
    <xf numFmtId="167" fontId="5" fillId="18" borderId="86" xfId="0" applyNumberFormat="1" applyFont="1" applyFill="1" applyBorder="1" applyAlignment="1" applyProtection="1">
      <alignment vertical="center" wrapText="1"/>
      <protection locked="0"/>
    </xf>
    <xf numFmtId="167" fontId="5" fillId="18" borderId="87" xfId="0" applyNumberFormat="1" applyFont="1" applyFill="1" applyBorder="1" applyAlignment="1" applyProtection="1">
      <alignment vertical="center" wrapText="1"/>
      <protection locked="0"/>
    </xf>
    <xf numFmtId="167" fontId="5" fillId="18" borderId="88" xfId="0" applyNumberFormat="1" applyFont="1" applyFill="1" applyBorder="1" applyAlignment="1" applyProtection="1">
      <alignment vertical="center" wrapText="1"/>
      <protection locked="0"/>
    </xf>
    <xf numFmtId="167" fontId="5" fillId="18" borderId="23" xfId="0" applyNumberFormat="1" applyFont="1" applyFill="1" applyBorder="1" applyAlignment="1" applyProtection="1">
      <alignment vertical="center" wrapText="1"/>
      <protection locked="0"/>
    </xf>
    <xf numFmtId="167" fontId="5" fillId="15" borderId="12" xfId="0" applyNumberFormat="1" applyFont="1" applyFill="1" applyBorder="1" applyAlignment="1" applyProtection="1">
      <alignment vertical="center" wrapText="1"/>
      <protection locked="0"/>
    </xf>
    <xf numFmtId="167" fontId="5" fillId="17" borderId="25" xfId="0" applyNumberFormat="1" applyFont="1" applyFill="1" applyBorder="1" applyAlignment="1" applyProtection="1">
      <alignment vertical="center" wrapText="1"/>
      <protection locked="0"/>
    </xf>
    <xf numFmtId="167" fontId="5" fillId="15" borderId="23" xfId="0" applyNumberFormat="1" applyFont="1" applyFill="1" applyBorder="1" applyAlignment="1" applyProtection="1">
      <alignment vertical="center" wrapText="1"/>
      <protection locked="0"/>
    </xf>
    <xf numFmtId="167" fontId="5" fillId="17" borderId="12" xfId="0" applyNumberFormat="1" applyFont="1" applyFill="1" applyBorder="1" applyAlignment="1" applyProtection="1">
      <alignment vertical="center" wrapText="1"/>
      <protection locked="0"/>
    </xf>
    <xf numFmtId="167" fontId="5" fillId="19" borderId="25" xfId="0" applyNumberFormat="1" applyFont="1" applyFill="1" applyBorder="1" applyAlignment="1" applyProtection="1">
      <alignment vertical="center" wrapText="1"/>
      <protection locked="0"/>
    </xf>
    <xf numFmtId="9" fontId="7" fillId="16" borderId="111" xfId="1" applyNumberFormat="1" applyFont="1" applyFill="1" applyBorder="1" applyAlignment="1" applyProtection="1">
      <alignment horizontal="left" vertical="center"/>
      <protection locked="0"/>
    </xf>
    <xf numFmtId="4" fontId="17" fillId="16" borderId="39" xfId="0" applyNumberFormat="1" applyFont="1" applyFill="1" applyBorder="1" applyAlignment="1" applyProtection="1">
      <alignment horizontal="center"/>
      <protection locked="0"/>
    </xf>
    <xf numFmtId="4" fontId="17" fillId="16" borderId="91" xfId="0" applyNumberFormat="1" applyFont="1" applyFill="1" applyBorder="1" applyAlignment="1" applyProtection="1">
      <alignment horizontal="center"/>
      <protection locked="0"/>
    </xf>
    <xf numFmtId="0" fontId="17" fillId="0" borderId="66" xfId="0" applyFont="1" applyFill="1" applyBorder="1" applyAlignment="1" applyProtection="1">
      <alignment horizontal="center" vertical="center"/>
    </xf>
    <xf numFmtId="0" fontId="17" fillId="0" borderId="47" xfId="0" applyFont="1" applyFill="1" applyBorder="1" applyAlignment="1" applyProtection="1">
      <alignment horizontal="center" vertical="center"/>
    </xf>
    <xf numFmtId="0" fontId="19" fillId="3" borderId="35" xfId="3" applyFont="1" applyFill="1" applyBorder="1" applyAlignment="1">
      <alignment horizontal="center" vertical="center" wrapText="1"/>
    </xf>
    <xf numFmtId="0" fontId="22" fillId="0" borderId="8" xfId="3" applyFont="1" applyBorder="1" applyAlignment="1">
      <alignment horizontal="right" vertical="center"/>
    </xf>
    <xf numFmtId="0" fontId="17" fillId="0" borderId="0" xfId="3" applyAlignment="1">
      <alignment horizontal="right"/>
    </xf>
    <xf numFmtId="0" fontId="17" fillId="11" borderId="0" xfId="3" applyFill="1" applyAlignment="1">
      <alignment horizontal="right"/>
    </xf>
    <xf numFmtId="0" fontId="22" fillId="11" borderId="8" xfId="3" applyFont="1" applyFill="1" applyBorder="1" applyAlignment="1">
      <alignment horizontal="right" vertical="center"/>
    </xf>
    <xf numFmtId="0" fontId="22" fillId="25" borderId="8" xfId="3" applyFont="1" applyFill="1" applyBorder="1" applyAlignment="1">
      <alignment horizontal="right" vertical="center"/>
    </xf>
    <xf numFmtId="4" fontId="17" fillId="9" borderId="50" xfId="0" applyNumberFormat="1" applyFont="1" applyFill="1" applyBorder="1" applyAlignment="1" applyProtection="1">
      <alignment horizontal="center"/>
    </xf>
    <xf numFmtId="4" fontId="17" fillId="9" borderId="91" xfId="0" applyNumberFormat="1" applyFont="1" applyFill="1" applyBorder="1" applyAlignment="1" applyProtection="1">
      <alignment horizontal="center"/>
    </xf>
    <xf numFmtId="4" fontId="17" fillId="9" borderId="31" xfId="0" applyNumberFormat="1" applyFont="1" applyFill="1" applyBorder="1" applyAlignment="1" applyProtection="1">
      <alignment horizontal="center"/>
    </xf>
    <xf numFmtId="4" fontId="17" fillId="9" borderId="39" xfId="0" applyNumberFormat="1" applyFont="1" applyFill="1" applyBorder="1" applyAlignment="1" applyProtection="1">
      <alignment horizontal="center"/>
    </xf>
    <xf numFmtId="9" fontId="17" fillId="9" borderId="50" xfId="0" applyNumberFormat="1" applyFont="1" applyFill="1" applyBorder="1" applyAlignment="1" applyProtection="1">
      <alignment horizontal="center"/>
    </xf>
    <xf numFmtId="9" fontId="17" fillId="9" borderId="49" xfId="0" applyNumberFormat="1" applyFont="1" applyFill="1" applyBorder="1" applyAlignment="1" applyProtection="1">
      <alignment horizontal="center" vertical="center"/>
    </xf>
    <xf numFmtId="9" fontId="17" fillId="9" borderId="48" xfId="0" applyNumberFormat="1" applyFont="1" applyFill="1" applyBorder="1" applyAlignment="1" applyProtection="1">
      <alignment horizontal="center"/>
    </xf>
    <xf numFmtId="4" fontId="17" fillId="9" borderId="58" xfId="0" applyNumberFormat="1" applyFont="1" applyFill="1" applyBorder="1" applyAlignment="1" applyProtection="1">
      <alignment horizontal="center" vertical="center"/>
    </xf>
    <xf numFmtId="4" fontId="17" fillId="9" borderId="50" xfId="0" applyNumberFormat="1" applyFont="1" applyFill="1" applyBorder="1" applyAlignment="1" applyProtection="1">
      <alignment vertical="center"/>
    </xf>
    <xf numFmtId="4" fontId="17" fillId="9" borderId="48" xfId="0" applyNumberFormat="1" applyFont="1" applyFill="1" applyBorder="1" applyAlignment="1" applyProtection="1">
      <alignment vertical="center"/>
    </xf>
    <xf numFmtId="4" fontId="17" fillId="9" borderId="55" xfId="0" applyNumberFormat="1" applyFont="1" applyFill="1" applyBorder="1" applyAlignment="1" applyProtection="1">
      <alignment vertical="center"/>
    </xf>
    <xf numFmtId="2" fontId="17" fillId="9" borderId="69" xfId="0" applyNumberFormat="1" applyFont="1" applyFill="1" applyBorder="1" applyAlignment="1" applyProtection="1">
      <alignment horizontal="center" vertical="center"/>
    </xf>
    <xf numFmtId="4" fontId="17" fillId="9" borderId="50" xfId="0" applyNumberFormat="1" applyFont="1" applyFill="1" applyBorder="1" applyAlignment="1" applyProtection="1">
      <alignment horizontal="center" vertical="center"/>
    </xf>
    <xf numFmtId="4" fontId="17" fillId="9" borderId="48" xfId="0" applyNumberFormat="1" applyFont="1" applyFill="1" applyBorder="1" applyAlignment="1" applyProtection="1">
      <alignment horizontal="center" vertical="center"/>
    </xf>
    <xf numFmtId="4" fontId="17" fillId="9" borderId="55" xfId="0" applyNumberFormat="1" applyFont="1" applyFill="1" applyBorder="1" applyAlignment="1" applyProtection="1">
      <alignment horizontal="center" vertical="center"/>
    </xf>
    <xf numFmtId="2" fontId="44" fillId="26" borderId="63" xfId="0" applyNumberFormat="1" applyFont="1" applyFill="1" applyBorder="1" applyAlignment="1">
      <alignment horizontal="center" vertical="center" wrapText="1"/>
    </xf>
    <xf numFmtId="2" fontId="44" fillId="27" borderId="20" xfId="0" applyNumberFormat="1" applyFont="1" applyFill="1" applyBorder="1" applyAlignment="1">
      <alignment horizontal="center" vertical="center" wrapText="1"/>
    </xf>
    <xf numFmtId="2" fontId="44" fillId="28" borderId="64" xfId="0" applyNumberFormat="1" applyFont="1" applyFill="1" applyBorder="1" applyAlignment="1">
      <alignment horizontal="center" vertical="center" wrapText="1"/>
    </xf>
    <xf numFmtId="2" fontId="44" fillId="27" borderId="63" xfId="0" applyNumberFormat="1" applyFont="1" applyFill="1" applyBorder="1" applyAlignment="1">
      <alignment horizontal="center" vertical="center" wrapText="1"/>
    </xf>
    <xf numFmtId="2" fontId="44" fillId="28" borderId="20" xfId="0" applyNumberFormat="1" applyFont="1" applyFill="1" applyBorder="1" applyAlignment="1">
      <alignment horizontal="center" vertical="center" wrapText="1"/>
    </xf>
    <xf numFmtId="2" fontId="44" fillId="29" borderId="64" xfId="0" applyNumberFormat="1" applyFont="1" applyFill="1" applyBorder="1" applyAlignment="1">
      <alignment horizontal="center" vertical="center" wrapText="1"/>
    </xf>
    <xf numFmtId="0" fontId="7" fillId="0" borderId="71" xfId="0" applyFont="1" applyFill="1" applyBorder="1" applyAlignment="1" applyProtection="1">
      <alignment horizontal="center" vertical="center" wrapText="1"/>
    </xf>
    <xf numFmtId="0" fontId="17" fillId="11" borderId="8" xfId="3" applyFill="1" applyBorder="1" applyAlignment="1">
      <alignment horizontal="right"/>
    </xf>
    <xf numFmtId="3" fontId="19" fillId="16" borderId="86" xfId="0" applyNumberFormat="1" applyFont="1" applyFill="1" applyBorder="1" applyAlignment="1" applyProtection="1">
      <protection locked="0"/>
    </xf>
    <xf numFmtId="2" fontId="19" fillId="3" borderId="24" xfId="0" applyNumberFormat="1" applyFont="1" applyFill="1" applyBorder="1"/>
    <xf numFmtId="2" fontId="19" fillId="3" borderId="35" xfId="0" applyNumberFormat="1" applyFont="1" applyFill="1" applyBorder="1"/>
    <xf numFmtId="2" fontId="19" fillId="30" borderId="24" xfId="0" applyNumberFormat="1" applyFont="1" applyFill="1" applyBorder="1"/>
    <xf numFmtId="3" fontId="10" fillId="30" borderId="38" xfId="1" applyNumberFormat="1" applyFont="1" applyFill="1" applyBorder="1"/>
    <xf numFmtId="2" fontId="19" fillId="31" borderId="24" xfId="0" applyNumberFormat="1" applyFont="1" applyFill="1" applyBorder="1"/>
    <xf numFmtId="2" fontId="19" fillId="31" borderId="36" xfId="0" applyNumberFormat="1" applyFont="1" applyFill="1" applyBorder="1"/>
    <xf numFmtId="2" fontId="19" fillId="31" borderId="35" xfId="0" applyNumberFormat="1" applyFont="1" applyFill="1" applyBorder="1"/>
    <xf numFmtId="2" fontId="10" fillId="4" borderId="35" xfId="0" applyNumberFormat="1" applyFont="1" applyFill="1" applyBorder="1"/>
    <xf numFmtId="3" fontId="10" fillId="0" borderId="12" xfId="3" applyNumberFormat="1" applyFont="1" applyFill="1" applyBorder="1" applyAlignment="1" applyProtection="1"/>
    <xf numFmtId="3" fontId="10" fillId="0" borderId="114" xfId="3" applyNumberFormat="1" applyFont="1" applyBorder="1"/>
    <xf numFmtId="3" fontId="11" fillId="0" borderId="115" xfId="3" applyNumberFormat="1" applyFont="1" applyBorder="1" applyAlignment="1">
      <alignment horizontal="left"/>
    </xf>
    <xf numFmtId="3" fontId="11" fillId="0" borderId="113" xfId="3" applyNumberFormat="1" applyFont="1" applyBorder="1" applyAlignment="1">
      <alignment horizontal="left"/>
    </xf>
    <xf numFmtId="3" fontId="8" fillId="0" borderId="116" xfId="3" applyNumberFormat="1" applyFont="1" applyBorder="1"/>
    <xf numFmtId="3" fontId="19" fillId="17" borderId="14" xfId="3" applyNumberFormat="1" applyFont="1" applyFill="1" applyBorder="1" applyAlignment="1" applyProtection="1">
      <protection locked="0"/>
    </xf>
    <xf numFmtId="0" fontId="4" fillId="0" borderId="84" xfId="0" applyFont="1" applyBorder="1" applyAlignment="1">
      <alignment horizontal="right"/>
    </xf>
    <xf numFmtId="3" fontId="17" fillId="16" borderId="92" xfId="0" applyNumberFormat="1" applyFont="1" applyFill="1" applyBorder="1" applyAlignment="1" applyProtection="1">
      <alignment horizontal="center" vertical="center"/>
      <protection locked="0"/>
    </xf>
    <xf numFmtId="3" fontId="17" fillId="16" borderId="93" xfId="0" applyNumberFormat="1" applyFont="1" applyFill="1" applyBorder="1" applyAlignment="1" applyProtection="1">
      <alignment horizontal="center" vertical="center"/>
      <protection locked="0"/>
    </xf>
    <xf numFmtId="3" fontId="17" fillId="14" borderId="92" xfId="0" applyNumberFormat="1" applyFont="1" applyFill="1" applyBorder="1" applyAlignment="1" applyProtection="1">
      <alignment horizontal="center" vertical="center"/>
    </xf>
    <xf numFmtId="3" fontId="17" fillId="14" borderId="93" xfId="0" applyNumberFormat="1" applyFont="1" applyFill="1" applyBorder="1" applyAlignment="1" applyProtection="1">
      <alignment horizontal="center" vertical="center"/>
    </xf>
    <xf numFmtId="3" fontId="17" fillId="16" borderId="89" xfId="0" applyNumberFormat="1" applyFont="1" applyFill="1" applyBorder="1" applyAlignment="1" applyProtection="1">
      <alignment horizontal="center" vertical="center"/>
      <protection locked="0"/>
    </xf>
    <xf numFmtId="0" fontId="17" fillId="0" borderId="40" xfId="0" applyFont="1" applyFill="1" applyBorder="1" applyAlignment="1" applyProtection="1">
      <alignment horizontal="center" vertical="center" wrapText="1"/>
    </xf>
    <xf numFmtId="0" fontId="17" fillId="0" borderId="42" xfId="0" applyFont="1" applyFill="1" applyBorder="1" applyAlignment="1" applyProtection="1">
      <alignment horizontal="center" vertical="center" wrapText="1"/>
    </xf>
    <xf numFmtId="0" fontId="17" fillId="0" borderId="71" xfId="0" applyFont="1" applyFill="1" applyBorder="1" applyAlignment="1" applyProtection="1">
      <alignment horizontal="center" vertical="center" wrapText="1"/>
    </xf>
    <xf numFmtId="0" fontId="7" fillId="0" borderId="90" xfId="1" applyFont="1" applyBorder="1" applyAlignment="1">
      <alignment horizontal="right" vertical="center"/>
    </xf>
    <xf numFmtId="0" fontId="7" fillId="0" borderId="60" xfId="1" applyFont="1" applyBorder="1" applyAlignment="1">
      <alignment horizontal="right" vertical="center"/>
    </xf>
    <xf numFmtId="0" fontId="7" fillId="0" borderId="40" xfId="0" applyFont="1" applyFill="1" applyBorder="1" applyAlignment="1" applyProtection="1">
      <alignment horizontal="center"/>
    </xf>
    <xf numFmtId="0" fontId="7" fillId="0" borderId="42" xfId="0" applyFont="1" applyFill="1" applyBorder="1" applyAlignment="1" applyProtection="1">
      <alignment horizontal="center"/>
    </xf>
    <xf numFmtId="0" fontId="7" fillId="0" borderId="45" xfId="0" applyFont="1" applyFill="1" applyBorder="1" applyAlignment="1" applyProtection="1">
      <alignment horizontal="center"/>
    </xf>
    <xf numFmtId="0" fontId="7" fillId="0" borderId="40" xfId="0" applyFont="1" applyFill="1" applyBorder="1" applyAlignment="1" applyProtection="1">
      <alignment horizontal="center" vertical="center" wrapText="1"/>
    </xf>
    <xf numFmtId="0" fontId="7" fillId="0" borderId="42" xfId="0" applyFont="1" applyFill="1" applyBorder="1" applyAlignment="1" applyProtection="1">
      <alignment horizontal="center" vertical="center" wrapText="1"/>
    </xf>
    <xf numFmtId="0" fontId="7" fillId="0" borderId="71" xfId="0" applyFont="1" applyFill="1" applyBorder="1" applyAlignment="1" applyProtection="1">
      <alignment horizontal="center" vertical="center" wrapText="1"/>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39" xfId="1" applyFont="1" applyBorder="1" applyAlignment="1">
      <alignment horizontal="center" vertical="center"/>
    </xf>
    <xf numFmtId="0" fontId="7" fillId="0" borderId="94" xfId="0" applyFont="1" applyFill="1" applyBorder="1" applyAlignment="1" applyProtection="1">
      <alignment horizontal="center" vertical="center" wrapText="1"/>
    </xf>
    <xf numFmtId="0" fontId="7" fillId="0" borderId="95" xfId="0" applyFont="1" applyFill="1" applyBorder="1" applyAlignment="1" applyProtection="1">
      <alignment horizontal="center" vertical="center" wrapText="1"/>
    </xf>
    <xf numFmtId="0" fontId="8" fillId="0" borderId="70" xfId="0" applyFont="1" applyFill="1" applyBorder="1" applyAlignment="1" applyProtection="1">
      <alignment horizontal="center"/>
    </xf>
    <xf numFmtId="0" fontId="8" fillId="0" borderId="66" xfId="0" applyFont="1" applyFill="1" applyBorder="1" applyAlignment="1" applyProtection="1">
      <alignment horizontal="center"/>
    </xf>
    <xf numFmtId="0" fontId="8" fillId="0" borderId="43" xfId="0" applyFont="1" applyFill="1" applyBorder="1" applyAlignment="1" applyProtection="1">
      <alignment horizontal="center"/>
    </xf>
    <xf numFmtId="0" fontId="7" fillId="0" borderId="26" xfId="1" applyFont="1" applyBorder="1" applyAlignment="1">
      <alignment horizontal="right" vertical="center"/>
    </xf>
    <xf numFmtId="166" fontId="7" fillId="0" borderId="0" xfId="1" applyNumberFormat="1" applyFont="1" applyFill="1" applyBorder="1" applyAlignment="1" applyProtection="1">
      <alignment horizontal="center" vertical="center"/>
    </xf>
    <xf numFmtId="0" fontId="7" fillId="0" borderId="40" xfId="0" applyFont="1" applyBorder="1" applyAlignment="1">
      <alignment horizontal="center"/>
    </xf>
    <xf numFmtId="0" fontId="7" fillId="0" borderId="42" xfId="0" applyFont="1" applyBorder="1" applyAlignment="1">
      <alignment horizontal="center"/>
    </xf>
    <xf numFmtId="0" fontId="7" fillId="0" borderId="71" xfId="0" applyFont="1" applyBorder="1" applyAlignment="1">
      <alignment horizontal="center"/>
    </xf>
    <xf numFmtId="0" fontId="15" fillId="0" borderId="40" xfId="1" applyFont="1" applyBorder="1" applyAlignment="1">
      <alignment horizontal="center"/>
    </xf>
    <xf numFmtId="0" fontId="15" fillId="0" borderId="42" xfId="1" applyFont="1" applyBorder="1" applyAlignment="1">
      <alignment horizontal="center"/>
    </xf>
    <xf numFmtId="0" fontId="15" fillId="0" borderId="71" xfId="1" applyFont="1" applyBorder="1" applyAlignment="1">
      <alignment horizontal="center"/>
    </xf>
    <xf numFmtId="0" fontId="7" fillId="0" borderId="70" xfId="1" applyFont="1" applyBorder="1" applyAlignment="1">
      <alignment horizontal="center" vertical="center" wrapText="1"/>
    </xf>
    <xf numFmtId="0" fontId="7" fillId="0" borderId="26" xfId="1" applyFont="1" applyBorder="1" applyAlignment="1">
      <alignment horizontal="center" vertical="center" wrapText="1"/>
    </xf>
    <xf numFmtId="0" fontId="7" fillId="0" borderId="46" xfId="1" applyFont="1" applyBorder="1" applyAlignment="1">
      <alignment horizontal="center" vertical="center" wrapText="1"/>
    </xf>
    <xf numFmtId="0" fontId="7" fillId="0" borderId="72" xfId="1" applyFont="1" applyBorder="1" applyAlignment="1">
      <alignment horizontal="left" vertical="center"/>
    </xf>
    <xf numFmtId="0" fontId="7" fillId="0" borderId="73" xfId="1" applyFont="1" applyBorder="1" applyAlignment="1">
      <alignment horizontal="left" vertical="center"/>
    </xf>
    <xf numFmtId="0" fontId="15" fillId="0" borderId="40" xfId="0" applyFont="1" applyFill="1" applyBorder="1" applyAlignment="1" applyProtection="1">
      <alignment horizontal="center" vertical="center" wrapText="1"/>
    </xf>
    <xf numFmtId="0" fontId="15" fillId="0" borderId="42" xfId="0" applyFont="1" applyFill="1" applyBorder="1" applyAlignment="1" applyProtection="1">
      <alignment horizontal="center" vertical="center" wrapText="1"/>
    </xf>
    <xf numFmtId="0" fontId="15" fillId="0" borderId="71" xfId="0" applyFont="1" applyFill="1" applyBorder="1" applyAlignment="1" applyProtection="1">
      <alignment horizontal="center" vertical="center" wrapText="1"/>
    </xf>
    <xf numFmtId="0" fontId="17" fillId="0" borderId="46" xfId="0" applyFont="1" applyFill="1" applyBorder="1" applyAlignment="1" applyProtection="1">
      <alignment horizontal="right"/>
    </xf>
    <xf numFmtId="0" fontId="17" fillId="0" borderId="47" xfId="0" applyFont="1" applyFill="1" applyBorder="1" applyAlignment="1" applyProtection="1">
      <alignment horizontal="right"/>
    </xf>
    <xf numFmtId="0" fontId="17" fillId="0" borderId="89" xfId="0" applyFont="1" applyFill="1" applyBorder="1" applyAlignment="1" applyProtection="1">
      <alignment horizontal="right"/>
    </xf>
    <xf numFmtId="0" fontId="17" fillId="0" borderId="68" xfId="0" applyFont="1" applyFill="1" applyBorder="1" applyAlignment="1" applyProtection="1">
      <alignment horizontal="right"/>
    </xf>
    <xf numFmtId="0" fontId="40" fillId="3" borderId="40" xfId="3" applyFont="1" applyFill="1" applyBorder="1" applyAlignment="1">
      <alignment horizontal="center"/>
    </xf>
    <xf numFmtId="0" fontId="40" fillId="3" borderId="42" xfId="3" applyFont="1" applyFill="1" applyBorder="1" applyAlignment="1">
      <alignment horizontal="center"/>
    </xf>
    <xf numFmtId="0" fontId="40" fillId="3" borderId="71" xfId="3" applyFont="1" applyFill="1" applyBorder="1" applyAlignment="1">
      <alignment horizontal="center"/>
    </xf>
    <xf numFmtId="0" fontId="17" fillId="0" borderId="89" xfId="3" applyBorder="1" applyAlignment="1">
      <alignment horizontal="left"/>
    </xf>
    <xf numFmtId="0" fontId="17" fillId="0" borderId="68" xfId="3" applyBorder="1" applyAlignment="1">
      <alignment horizontal="left"/>
    </xf>
    <xf numFmtId="0" fontId="17" fillId="0" borderId="90" xfId="3" applyBorder="1" applyAlignment="1">
      <alignment horizontal="left"/>
    </xf>
    <xf numFmtId="0" fontId="17" fillId="0" borderId="60" xfId="3" applyBorder="1" applyAlignment="1">
      <alignment horizontal="left"/>
    </xf>
    <xf numFmtId="0" fontId="17" fillId="0" borderId="93" xfId="3" applyBorder="1" applyAlignment="1">
      <alignment horizontal="left"/>
    </xf>
    <xf numFmtId="0" fontId="17" fillId="0" borderId="85" xfId="3" applyBorder="1" applyAlignment="1">
      <alignment horizontal="left"/>
    </xf>
    <xf numFmtId="0" fontId="17" fillId="3" borderId="21" xfId="3" applyFill="1" applyBorder="1" applyAlignment="1">
      <alignment horizontal="right"/>
    </xf>
    <xf numFmtId="0" fontId="17" fillId="3" borderId="32" xfId="3" applyFill="1" applyBorder="1" applyAlignment="1">
      <alignment horizontal="right"/>
    </xf>
    <xf numFmtId="0" fontId="17" fillId="3" borderId="41" xfId="3" applyFill="1" applyBorder="1" applyAlignment="1">
      <alignment horizontal="right"/>
    </xf>
    <xf numFmtId="0" fontId="7" fillId="0" borderId="28" xfId="3" applyFont="1" applyBorder="1" applyAlignment="1">
      <alignment horizontal="center" vertical="center"/>
    </xf>
    <xf numFmtId="0" fontId="7" fillId="0" borderId="29" xfId="3" applyFont="1" applyBorder="1" applyAlignment="1">
      <alignment horizontal="center" vertical="center"/>
    </xf>
    <xf numFmtId="0" fontId="7" fillId="0" borderId="31" xfId="3" applyFont="1" applyBorder="1" applyAlignment="1">
      <alignment horizontal="center" vertical="center"/>
    </xf>
    <xf numFmtId="0" fontId="7" fillId="3" borderId="41" xfId="3" applyFont="1" applyFill="1" applyBorder="1" applyAlignment="1">
      <alignment horizontal="center" vertical="center"/>
    </xf>
    <xf numFmtId="0" fontId="7" fillId="3" borderId="71" xfId="3" applyFont="1" applyFill="1" applyBorder="1" applyAlignment="1">
      <alignment horizontal="center" vertical="center"/>
    </xf>
    <xf numFmtId="0" fontId="7" fillId="3" borderId="72" xfId="3" applyFont="1" applyFill="1" applyBorder="1" applyAlignment="1">
      <alignment horizontal="center" vertical="center"/>
    </xf>
    <xf numFmtId="0" fontId="7" fillId="3" borderId="9" xfId="3" applyFont="1" applyFill="1" applyBorder="1" applyAlignment="1">
      <alignment horizontal="center" vertical="center"/>
    </xf>
    <xf numFmtId="0" fontId="8" fillId="0" borderId="40" xfId="3" applyFont="1" applyBorder="1" applyAlignment="1">
      <alignment horizontal="center" vertical="center" wrapText="1"/>
    </xf>
    <xf numFmtId="0" fontId="8" fillId="0" borderId="42" xfId="3" applyFont="1" applyBorder="1" applyAlignment="1">
      <alignment horizontal="center" vertical="center" wrapText="1"/>
    </xf>
    <xf numFmtId="0" fontId="8" fillId="0" borderId="71" xfId="3" applyFont="1" applyBorder="1" applyAlignment="1">
      <alignment horizontal="center" vertical="center" wrapText="1"/>
    </xf>
    <xf numFmtId="0" fontId="17" fillId="0" borderId="104" xfId="3" applyBorder="1" applyAlignment="1">
      <alignment horizontal="center" vertical="center" wrapText="1"/>
    </xf>
    <xf numFmtId="0" fontId="17" fillId="0" borderId="61" xfId="3" applyBorder="1" applyAlignment="1">
      <alignment horizontal="center" vertical="center" wrapText="1"/>
    </xf>
    <xf numFmtId="0" fontId="7" fillId="3" borderId="40" xfId="3" applyFont="1" applyFill="1" applyBorder="1" applyAlignment="1">
      <alignment horizontal="right" vertical="center" wrapText="1"/>
    </xf>
    <xf numFmtId="0" fontId="7" fillId="3" borderId="42" xfId="3" applyFont="1" applyFill="1" applyBorder="1" applyAlignment="1">
      <alignment horizontal="right" vertical="center" wrapText="1"/>
    </xf>
    <xf numFmtId="0" fontId="7" fillId="3" borderId="45" xfId="3" applyFont="1" applyFill="1" applyBorder="1" applyAlignment="1">
      <alignment horizontal="right" vertical="center" wrapText="1"/>
    </xf>
    <xf numFmtId="0" fontId="7" fillId="3" borderId="42" xfId="3" applyFont="1" applyFill="1" applyBorder="1" applyAlignment="1">
      <alignment horizontal="center" vertical="center" wrapText="1"/>
    </xf>
    <xf numFmtId="0" fontId="7" fillId="3" borderId="71" xfId="3" applyFont="1" applyFill="1" applyBorder="1" applyAlignment="1">
      <alignment horizontal="center" vertical="center" wrapText="1"/>
    </xf>
    <xf numFmtId="0" fontId="7" fillId="3" borderId="101" xfId="3" applyFont="1" applyFill="1" applyBorder="1" applyAlignment="1">
      <alignment horizontal="center" vertical="center" wrapText="1"/>
    </xf>
    <xf numFmtId="0" fontId="7" fillId="3" borderId="94" xfId="3" applyFont="1" applyFill="1" applyBorder="1" applyAlignment="1">
      <alignment horizontal="center" vertical="center" wrapText="1"/>
    </xf>
    <xf numFmtId="0" fontId="7" fillId="3" borderId="96" xfId="3" applyFont="1" applyFill="1" applyBorder="1" applyAlignment="1">
      <alignment horizontal="center" vertical="center" wrapText="1"/>
    </xf>
    <xf numFmtId="0" fontId="7" fillId="3" borderId="109" xfId="3" applyFont="1" applyFill="1" applyBorder="1" applyAlignment="1">
      <alignment horizontal="center" vertical="center" wrapText="1"/>
    </xf>
    <xf numFmtId="0" fontId="17" fillId="0" borderId="93" xfId="3" applyBorder="1" applyAlignment="1">
      <alignment horizontal="center"/>
    </xf>
    <xf numFmtId="0" fontId="17" fillId="0" borderId="85" xfId="3" applyBorder="1" applyAlignment="1">
      <alignment horizontal="center"/>
    </xf>
    <xf numFmtId="0" fontId="17" fillId="0" borderId="92" xfId="3" applyBorder="1" applyAlignment="1">
      <alignment horizontal="left"/>
    </xf>
    <xf numFmtId="0" fontId="17" fillId="0" borderId="59" xfId="3" applyBorder="1" applyAlignment="1">
      <alignment horizontal="left"/>
    </xf>
    <xf numFmtId="0" fontId="17" fillId="0" borderId="104" xfId="3" applyBorder="1" applyAlignment="1">
      <alignment horizontal="center"/>
    </xf>
    <xf numFmtId="0" fontId="17" fillId="0" borderId="61" xfId="3" applyBorder="1" applyAlignment="1">
      <alignment horizontal="center"/>
    </xf>
    <xf numFmtId="0" fontId="8" fillId="0" borderId="70" xfId="3" applyFont="1" applyBorder="1" applyAlignment="1">
      <alignment horizontal="center" vertical="center" textRotation="15"/>
    </xf>
    <xf numFmtId="0" fontId="8" fillId="0" borderId="26" xfId="3" applyFont="1" applyBorder="1" applyAlignment="1">
      <alignment horizontal="center" vertical="center" textRotation="15"/>
    </xf>
    <xf numFmtId="0" fontId="22" fillId="0" borderId="28" xfId="3" applyFont="1" applyBorder="1" applyAlignment="1">
      <alignment horizontal="left" vertical="center"/>
    </xf>
    <xf numFmtId="0" fontId="22" fillId="0" borderId="31" xfId="3" applyFont="1" applyBorder="1" applyAlignment="1">
      <alignment horizontal="left" vertical="center"/>
    </xf>
    <xf numFmtId="2" fontId="15" fillId="3" borderId="26" xfId="3" applyNumberFormat="1" applyFont="1" applyFill="1" applyBorder="1" applyAlignment="1">
      <alignment horizontal="center"/>
    </xf>
    <xf numFmtId="2" fontId="15" fillId="3" borderId="44" xfId="3" applyNumberFormat="1" applyFont="1" applyFill="1" applyBorder="1" applyAlignment="1">
      <alignment horizontal="center"/>
    </xf>
    <xf numFmtId="2" fontId="15" fillId="3" borderId="46" xfId="3" applyNumberFormat="1" applyFont="1" applyFill="1" applyBorder="1" applyAlignment="1">
      <alignment horizontal="center"/>
    </xf>
    <xf numFmtId="2" fontId="15" fillId="3" borderId="39" xfId="3" applyNumberFormat="1" applyFont="1" applyFill="1" applyBorder="1" applyAlignment="1">
      <alignment horizontal="center"/>
    </xf>
    <xf numFmtId="0" fontId="7" fillId="0" borderId="26" xfId="3" applyFont="1" applyBorder="1" applyAlignment="1">
      <alignment horizontal="center" vertical="center"/>
    </xf>
    <xf numFmtId="0" fontId="7" fillId="3" borderId="70" xfId="3" applyFont="1" applyFill="1" applyBorder="1" applyAlignment="1">
      <alignment horizontal="center" vertical="center" wrapText="1"/>
    </xf>
    <xf numFmtId="0" fontId="7" fillId="3" borderId="66" xfId="3" applyFont="1" applyFill="1" applyBorder="1" applyAlignment="1">
      <alignment horizontal="center" vertical="center" wrapText="1"/>
    </xf>
    <xf numFmtId="0" fontId="7" fillId="3" borderId="43" xfId="3" applyFont="1" applyFill="1" applyBorder="1" applyAlignment="1">
      <alignment horizontal="center" vertical="center" wrapText="1"/>
    </xf>
    <xf numFmtId="0" fontId="7" fillId="3" borderId="26" xfId="3" applyFont="1" applyFill="1" applyBorder="1" applyAlignment="1">
      <alignment horizontal="center"/>
    </xf>
    <xf numFmtId="0" fontId="7" fillId="3" borderId="44" xfId="3" applyFont="1" applyFill="1" applyBorder="1" applyAlignment="1">
      <alignment horizontal="center"/>
    </xf>
    <xf numFmtId="0" fontId="17" fillId="0" borderId="26" xfId="3" applyBorder="1" applyAlignment="1">
      <alignment horizontal="center" vertical="center" wrapText="1"/>
    </xf>
    <xf numFmtId="0" fontId="17" fillId="0" borderId="0" xfId="3" applyAlignment="1">
      <alignment horizontal="center" vertical="center" wrapText="1"/>
    </xf>
    <xf numFmtId="2" fontId="15" fillId="3" borderId="47" xfId="3" applyNumberFormat="1" applyFont="1" applyFill="1" applyBorder="1" applyAlignment="1">
      <alignment horizontal="center"/>
    </xf>
    <xf numFmtId="0" fontId="2" fillId="0" borderId="93" xfId="7" applyBorder="1" applyAlignment="1">
      <alignment horizontal="center" vertical="center"/>
    </xf>
    <xf numFmtId="0" fontId="2" fillId="0" borderId="85" xfId="7" applyBorder="1" applyAlignment="1">
      <alignment horizontal="center" vertical="center"/>
    </xf>
    <xf numFmtId="0" fontId="2" fillId="0" borderId="9" xfId="7" applyBorder="1" applyAlignment="1">
      <alignment horizontal="center" vertical="center"/>
    </xf>
    <xf numFmtId="0" fontId="2" fillId="0" borderId="89" xfId="7" applyBorder="1" applyAlignment="1">
      <alignment horizontal="center" vertical="center"/>
    </xf>
    <xf numFmtId="0" fontId="2" fillId="0" borderId="68" xfId="7" applyBorder="1" applyAlignment="1">
      <alignment horizontal="center" vertical="center"/>
    </xf>
    <xf numFmtId="0" fontId="2" fillId="0" borderId="91" xfId="7" applyBorder="1" applyAlignment="1">
      <alignment horizontal="center" vertical="center"/>
    </xf>
    <xf numFmtId="0" fontId="2" fillId="0" borderId="40" xfId="7" applyBorder="1" applyAlignment="1">
      <alignment horizontal="center"/>
    </xf>
    <xf numFmtId="0" fontId="2" fillId="0" borderId="42" xfId="7" applyBorder="1" applyAlignment="1">
      <alignment horizontal="center"/>
    </xf>
    <xf numFmtId="0" fontId="2" fillId="0" borderId="71" xfId="7" applyBorder="1" applyAlignment="1">
      <alignment horizontal="center"/>
    </xf>
    <xf numFmtId="0" fontId="35" fillId="0" borderId="70" xfId="7" applyFont="1" applyBorder="1" applyAlignment="1">
      <alignment horizontal="center" vertical="top" wrapText="1"/>
    </xf>
    <xf numFmtId="0" fontId="35" fillId="0" borderId="66" xfId="7" applyFont="1" applyBorder="1" applyAlignment="1">
      <alignment horizontal="center" vertical="top" wrapText="1"/>
    </xf>
    <xf numFmtId="0" fontId="35" fillId="0" borderId="43" xfId="7" applyFont="1" applyBorder="1" applyAlignment="1">
      <alignment horizontal="center" vertical="top" wrapText="1"/>
    </xf>
    <xf numFmtId="0" fontId="35" fillId="0" borderId="26" xfId="7" applyFont="1" applyBorder="1" applyAlignment="1">
      <alignment horizontal="center" vertical="top" wrapText="1"/>
    </xf>
    <xf numFmtId="0" fontId="35" fillId="0" borderId="0" xfId="7" applyFont="1" applyAlignment="1">
      <alignment horizontal="center" vertical="top" wrapText="1"/>
    </xf>
    <xf numFmtId="0" fontId="35" fillId="0" borderId="44" xfId="7" applyFont="1" applyBorder="1" applyAlignment="1">
      <alignment horizontal="center" vertical="top" wrapText="1"/>
    </xf>
    <xf numFmtId="0" fontId="35" fillId="0" borderId="46" xfId="7" applyFont="1" applyBorder="1" applyAlignment="1">
      <alignment horizontal="center" vertical="top" wrapText="1"/>
    </xf>
    <xf numFmtId="0" fontId="35" fillId="0" borderId="47" xfId="7" applyFont="1" applyBorder="1" applyAlignment="1">
      <alignment horizontal="center" vertical="top" wrapText="1"/>
    </xf>
    <xf numFmtId="0" fontId="35" fillId="0" borderId="39" xfId="7" applyFont="1" applyBorder="1" applyAlignment="1">
      <alignment horizontal="center" vertical="top" wrapText="1"/>
    </xf>
    <xf numFmtId="0" fontId="41" fillId="0" borderId="40" xfId="3" applyFont="1" applyBorder="1" applyAlignment="1">
      <alignment horizontal="center" vertical="center" wrapText="1"/>
    </xf>
    <xf numFmtId="0" fontId="41" fillId="0" borderId="42" xfId="3" applyFont="1" applyBorder="1" applyAlignment="1">
      <alignment horizontal="center" vertical="center" wrapText="1"/>
    </xf>
    <xf numFmtId="0" fontId="41" fillId="0" borderId="71" xfId="3" applyFont="1" applyBorder="1" applyAlignment="1">
      <alignment horizontal="center" vertical="center" wrapText="1"/>
    </xf>
    <xf numFmtId="0" fontId="7" fillId="0" borderId="46" xfId="3" applyFont="1" applyBorder="1" applyAlignment="1">
      <alignment horizontal="center" vertical="center" wrapText="1"/>
    </xf>
    <xf numFmtId="0" fontId="7" fillId="0" borderId="39" xfId="3" applyFont="1" applyBorder="1" applyAlignment="1">
      <alignment horizontal="center" vertical="center" wrapText="1"/>
    </xf>
    <xf numFmtId="0" fontId="7" fillId="23" borderId="70" xfId="3" applyFont="1" applyFill="1" applyBorder="1" applyAlignment="1" applyProtection="1">
      <alignment horizontal="center" vertical="center" wrapText="1"/>
      <protection locked="0"/>
    </xf>
    <xf numFmtId="0" fontId="7" fillId="23" borderId="43" xfId="3" applyFont="1" applyFill="1" applyBorder="1" applyAlignment="1" applyProtection="1">
      <alignment horizontal="center" vertical="center" wrapText="1"/>
      <protection locked="0"/>
    </xf>
    <xf numFmtId="0" fontId="7" fillId="3" borderId="40" xfId="3" applyFont="1" applyFill="1" applyBorder="1" applyAlignment="1">
      <alignment horizontal="center"/>
    </xf>
    <xf numFmtId="0" fontId="7" fillId="3" borderId="71" xfId="3" applyFont="1" applyFill="1" applyBorder="1" applyAlignment="1">
      <alignment horizontal="center"/>
    </xf>
    <xf numFmtId="0" fontId="17" fillId="0" borderId="101" xfId="3" applyBorder="1" applyAlignment="1">
      <alignment horizontal="center" vertical="center" wrapText="1"/>
    </xf>
    <xf numFmtId="0" fontId="17" fillId="0" borderId="83" xfId="3" applyBorder="1" applyAlignment="1">
      <alignment horizontal="center" vertical="center" wrapText="1"/>
    </xf>
    <xf numFmtId="0" fontId="17" fillId="0" borderId="96" xfId="3" applyBorder="1" applyAlignment="1">
      <alignment horizontal="center" vertical="center" wrapText="1"/>
    </xf>
    <xf numFmtId="0" fontId="7" fillId="3" borderId="42" xfId="3" applyFont="1" applyFill="1" applyBorder="1" applyAlignment="1">
      <alignment horizontal="center"/>
    </xf>
    <xf numFmtId="0" fontId="17" fillId="0" borderId="95" xfId="3" applyBorder="1" applyAlignment="1">
      <alignment horizontal="center" vertical="center" wrapText="1"/>
    </xf>
    <xf numFmtId="0" fontId="17" fillId="0" borderId="108" xfId="3" applyBorder="1" applyAlignment="1">
      <alignment horizontal="center" vertical="center" wrapText="1"/>
    </xf>
    <xf numFmtId="0" fontId="17" fillId="0" borderId="107" xfId="3" applyBorder="1" applyAlignment="1">
      <alignment horizontal="center" vertical="center" wrapText="1"/>
    </xf>
    <xf numFmtId="0" fontId="37" fillId="0" borderId="66" xfId="3" applyFont="1" applyBorder="1" applyAlignment="1">
      <alignment horizontal="center" vertical="center" wrapText="1"/>
    </xf>
    <xf numFmtId="0" fontId="37" fillId="0" borderId="43" xfId="3" applyFont="1" applyBorder="1" applyAlignment="1">
      <alignment horizontal="center" vertical="center" wrapText="1"/>
    </xf>
    <xf numFmtId="0" fontId="37" fillId="0" borderId="47" xfId="3" applyFont="1" applyBorder="1" applyAlignment="1">
      <alignment horizontal="center" vertical="center" wrapText="1"/>
    </xf>
    <xf numFmtId="0" fontId="37" fillId="0" borderId="39" xfId="3" applyFont="1" applyBorder="1" applyAlignment="1">
      <alignment horizontal="center" vertical="center" wrapText="1"/>
    </xf>
    <xf numFmtId="3" fontId="7" fillId="0" borderId="32" xfId="3" applyNumberFormat="1" applyFont="1" applyBorder="1" applyAlignment="1">
      <alignment horizontal="center"/>
    </xf>
    <xf numFmtId="3" fontId="7" fillId="0" borderId="69" xfId="3" applyNumberFormat="1" applyFont="1" applyBorder="1" applyAlignment="1">
      <alignment horizontal="center"/>
    </xf>
    <xf numFmtId="3" fontId="17" fillId="0" borderId="32" xfId="3" applyNumberFormat="1" applyBorder="1" applyAlignment="1">
      <alignment horizontal="center" vertical="center"/>
    </xf>
    <xf numFmtId="3" fontId="17" fillId="0" borderId="69" xfId="3" applyNumberFormat="1" applyBorder="1" applyAlignment="1">
      <alignment horizontal="center" vertical="center"/>
    </xf>
    <xf numFmtId="0" fontId="10" fillId="0" borderId="42" xfId="3" applyFont="1" applyBorder="1" applyAlignment="1">
      <alignment horizontal="center"/>
    </xf>
    <xf numFmtId="0" fontId="10" fillId="0" borderId="71" xfId="3" applyFont="1" applyBorder="1" applyAlignment="1">
      <alignment horizontal="center"/>
    </xf>
    <xf numFmtId="0" fontId="42" fillId="23" borderId="42" xfId="3" applyFont="1" applyFill="1" applyBorder="1" applyAlignment="1" applyProtection="1">
      <alignment horizontal="center" vertical="center"/>
      <protection locked="0"/>
    </xf>
    <xf numFmtId="0" fontId="42" fillId="23" borderId="71" xfId="3" applyFont="1" applyFill="1" applyBorder="1" applyAlignment="1" applyProtection="1">
      <alignment horizontal="center" vertical="center"/>
      <protection locked="0"/>
    </xf>
    <xf numFmtId="0" fontId="32" fillId="3" borderId="24" xfId="7" applyFont="1" applyFill="1" applyBorder="1" applyAlignment="1">
      <alignment horizontal="center" vertical="center" wrapText="1"/>
    </xf>
    <xf numFmtId="0" fontId="32" fillId="3" borderId="12" xfId="7" applyFont="1" applyFill="1" applyBorder="1" applyAlignment="1">
      <alignment horizontal="center" vertical="center" wrapText="1"/>
    </xf>
    <xf numFmtId="0" fontId="32" fillId="3" borderId="75" xfId="7" applyFont="1" applyFill="1" applyBorder="1" applyAlignment="1">
      <alignment horizontal="center" vertical="center" wrapText="1"/>
    </xf>
    <xf numFmtId="0" fontId="2" fillId="3" borderId="104" xfId="7" applyFill="1" applyBorder="1" applyAlignment="1">
      <alignment horizontal="left" vertical="center" wrapText="1"/>
    </xf>
    <xf numFmtId="0" fontId="2" fillId="3" borderId="61" xfId="7" applyFill="1" applyBorder="1" applyAlignment="1">
      <alignment horizontal="left" vertical="center" wrapText="1"/>
    </xf>
    <xf numFmtId="0" fontId="2" fillId="3" borderId="103" xfId="7" applyFill="1" applyBorder="1" applyAlignment="1">
      <alignment horizontal="left" vertical="center" wrapText="1"/>
    </xf>
    <xf numFmtId="0" fontId="7" fillId="3" borderId="40" xfId="3" applyFont="1" applyFill="1" applyBorder="1" applyAlignment="1">
      <alignment horizontal="center" vertical="center" wrapText="1"/>
    </xf>
    <xf numFmtId="0" fontId="32" fillId="3" borderId="38" xfId="7" applyFont="1" applyFill="1" applyBorder="1" applyAlignment="1">
      <alignment horizontal="center" vertical="center" wrapText="1"/>
    </xf>
    <xf numFmtId="0" fontId="32" fillId="3" borderId="25" xfId="7" applyFont="1" applyFill="1" applyBorder="1" applyAlignment="1">
      <alignment horizontal="center" vertical="center" wrapText="1"/>
    </xf>
    <xf numFmtId="0" fontId="32" fillId="3" borderId="76" xfId="7" applyFont="1" applyFill="1" applyBorder="1" applyAlignment="1">
      <alignment horizontal="center" vertical="center" wrapText="1"/>
    </xf>
    <xf numFmtId="0" fontId="2" fillId="3" borderId="101" xfId="7" applyFill="1" applyBorder="1" applyAlignment="1">
      <alignment horizontal="center" vertical="center" wrapText="1"/>
    </xf>
    <xf numFmtId="0" fontId="2" fillId="3" borderId="94" xfId="7" applyFill="1" applyBorder="1" applyAlignment="1">
      <alignment horizontal="center" vertical="center" wrapText="1"/>
    </xf>
    <xf numFmtId="0" fontId="2" fillId="3" borderId="100" xfId="7" applyFill="1" applyBorder="1" applyAlignment="1">
      <alignment horizontal="center" vertical="center" wrapText="1"/>
    </xf>
    <xf numFmtId="0" fontId="32" fillId="3" borderId="22" xfId="7" applyFont="1" applyFill="1" applyBorder="1" applyAlignment="1">
      <alignment horizontal="center" vertical="center" wrapText="1"/>
    </xf>
    <xf numFmtId="0" fontId="32" fillId="3" borderId="23" xfId="7" applyFont="1" applyFill="1" applyBorder="1" applyAlignment="1">
      <alignment horizontal="center" vertical="center" wrapText="1"/>
    </xf>
    <xf numFmtId="0" fontId="32" fillId="3" borderId="74" xfId="7" applyFont="1" applyFill="1" applyBorder="1" applyAlignment="1">
      <alignment horizontal="center" vertical="center" wrapText="1"/>
    </xf>
    <xf numFmtId="0" fontId="32" fillId="3" borderId="70" xfId="7" applyFont="1" applyFill="1" applyBorder="1" applyAlignment="1">
      <alignment horizontal="right"/>
    </xf>
    <xf numFmtId="0" fontId="32" fillId="3" borderId="66" xfId="7" applyFont="1" applyFill="1" applyBorder="1" applyAlignment="1">
      <alignment horizontal="right"/>
    </xf>
    <xf numFmtId="0" fontId="32" fillId="3" borderId="99" xfId="7" applyFont="1" applyFill="1" applyBorder="1" applyAlignment="1">
      <alignment horizontal="right"/>
    </xf>
    <xf numFmtId="0" fontId="32" fillId="3" borderId="46" xfId="7" applyFont="1" applyFill="1" applyBorder="1" applyAlignment="1">
      <alignment horizontal="right"/>
    </xf>
    <xf numFmtId="0" fontId="32" fillId="3" borderId="47" xfId="7" applyFont="1" applyFill="1" applyBorder="1" applyAlignment="1">
      <alignment horizontal="right"/>
    </xf>
    <xf numFmtId="0" fontId="32" fillId="3" borderId="97" xfId="7" applyFont="1" applyFill="1" applyBorder="1" applyAlignment="1">
      <alignment horizontal="right"/>
    </xf>
    <xf numFmtId="0" fontId="2" fillId="3" borderId="92" xfId="7" applyFill="1" applyBorder="1" applyAlignment="1">
      <alignment horizontal="left" vertical="center" wrapText="1"/>
    </xf>
    <xf numFmtId="0" fontId="2" fillId="3" borderId="59" xfId="7" applyFill="1" applyBorder="1" applyAlignment="1">
      <alignment horizontal="left" vertical="center" wrapText="1"/>
    </xf>
    <xf numFmtId="0" fontId="2" fillId="3" borderId="106" xfId="7" applyFill="1" applyBorder="1" applyAlignment="1">
      <alignment horizontal="left" vertical="center" wrapText="1"/>
    </xf>
    <xf numFmtId="0" fontId="36" fillId="0" borderId="40" xfId="3" applyFont="1" applyBorder="1" applyAlignment="1">
      <alignment horizontal="center"/>
    </xf>
    <xf numFmtId="0" fontId="36" fillId="0" borderId="42" xfId="3" applyFont="1" applyBorder="1" applyAlignment="1">
      <alignment horizontal="center"/>
    </xf>
    <xf numFmtId="0" fontId="36" fillId="0" borderId="71" xfId="3" applyFont="1" applyBorder="1" applyAlignment="1">
      <alignment horizontal="center"/>
    </xf>
    <xf numFmtId="0" fontId="7" fillId="0" borderId="70" xfId="0" applyFont="1" applyFill="1" applyBorder="1" applyAlignment="1" applyProtection="1">
      <alignment horizontal="center" vertical="center" wrapText="1"/>
    </xf>
    <xf numFmtId="0" fontId="7" fillId="0" borderId="43"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44" xfId="0" applyFont="1" applyFill="1" applyBorder="1" applyAlignment="1" applyProtection="1">
      <alignment horizontal="center" vertical="center" wrapText="1"/>
    </xf>
    <xf numFmtId="0" fontId="7" fillId="0" borderId="46" xfId="0" applyFont="1" applyFill="1" applyBorder="1" applyAlignment="1" applyProtection="1">
      <alignment horizontal="center" vertical="center" wrapText="1"/>
    </xf>
    <xf numFmtId="0" fontId="7" fillId="0" borderId="39" xfId="0" applyFont="1" applyFill="1" applyBorder="1" applyAlignment="1" applyProtection="1">
      <alignment horizontal="center" vertical="center" wrapText="1"/>
    </xf>
    <xf numFmtId="0" fontId="6" fillId="0" borderId="40" xfId="3" applyFont="1" applyBorder="1" applyAlignment="1">
      <alignment horizontal="center"/>
    </xf>
    <xf numFmtId="0" fontId="6" fillId="0" borderId="42" xfId="3" applyFont="1" applyBorder="1" applyAlignment="1">
      <alignment horizontal="center"/>
    </xf>
    <xf numFmtId="0" fontId="6" fillId="0" borderId="71" xfId="3" applyFont="1" applyBorder="1" applyAlignment="1">
      <alignment horizontal="center"/>
    </xf>
    <xf numFmtId="0" fontId="13" fillId="4" borderId="40" xfId="0" applyFont="1" applyFill="1" applyBorder="1" applyAlignment="1">
      <alignment horizontal="center"/>
    </xf>
    <xf numFmtId="0" fontId="13" fillId="4" borderId="42" xfId="0" applyFont="1" applyFill="1" applyBorder="1" applyAlignment="1">
      <alignment horizontal="center"/>
    </xf>
    <xf numFmtId="0" fontId="13" fillId="4" borderId="71" xfId="0" applyFont="1" applyFill="1" applyBorder="1" applyAlignment="1">
      <alignment horizontal="center"/>
    </xf>
    <xf numFmtId="0" fontId="13" fillId="3" borderId="40" xfId="3" applyFont="1" applyFill="1" applyBorder="1" applyAlignment="1">
      <alignment horizontal="center"/>
    </xf>
    <xf numFmtId="0" fontId="13" fillId="3" borderId="42" xfId="3" applyFont="1" applyFill="1" applyBorder="1" applyAlignment="1">
      <alignment horizontal="center"/>
    </xf>
    <xf numFmtId="0" fontId="13" fillId="3" borderId="71" xfId="3" applyFont="1" applyFill="1" applyBorder="1" applyAlignment="1">
      <alignment horizontal="center"/>
    </xf>
    <xf numFmtId="0" fontId="6" fillId="0" borderId="26" xfId="3" applyFont="1" applyBorder="1" applyAlignment="1">
      <alignment horizontal="center"/>
    </xf>
    <xf numFmtId="0" fontId="6" fillId="0" borderId="0" xfId="3" applyFont="1" applyBorder="1" applyAlignment="1">
      <alignment horizontal="center"/>
    </xf>
    <xf numFmtId="0" fontId="22" fillId="0" borderId="111" xfId="3" applyFont="1" applyBorder="1" applyAlignment="1">
      <alignment horizontal="right" vertical="center" wrapText="1"/>
    </xf>
    <xf numFmtId="0" fontId="13" fillId="11" borderId="40" xfId="3" applyFont="1" applyFill="1" applyBorder="1" applyAlignment="1" applyProtection="1">
      <alignment horizontal="center"/>
    </xf>
    <xf numFmtId="0" fontId="13" fillId="11" borderId="42" xfId="3" applyFont="1" applyFill="1" applyBorder="1" applyAlignment="1" applyProtection="1">
      <alignment horizontal="center"/>
    </xf>
    <xf numFmtId="0" fontId="13" fillId="11" borderId="71" xfId="3" applyFont="1" applyFill="1" applyBorder="1" applyAlignment="1" applyProtection="1">
      <alignment horizontal="center"/>
    </xf>
    <xf numFmtId="0" fontId="8" fillId="7" borderId="28" xfId="0" applyFont="1" applyFill="1" applyBorder="1" applyAlignment="1">
      <alignment horizontal="center" vertical="center" textRotation="55" wrapText="1"/>
    </xf>
    <xf numFmtId="0" fontId="8" fillId="7" borderId="29" xfId="0" applyFont="1" applyFill="1" applyBorder="1" applyAlignment="1">
      <alignment horizontal="center" vertical="center" textRotation="55" wrapText="1"/>
    </xf>
    <xf numFmtId="0" fontId="8" fillId="7" borderId="31" xfId="0" applyFont="1" applyFill="1" applyBorder="1" applyAlignment="1">
      <alignment horizontal="center" vertical="center" textRotation="55" wrapText="1"/>
    </xf>
    <xf numFmtId="0" fontId="22" fillId="25" borderId="112" xfId="3" applyFont="1" applyFill="1" applyBorder="1" applyAlignment="1">
      <alignment horizontal="center" vertical="center" wrapText="1"/>
    </xf>
    <xf numFmtId="0" fontId="22" fillId="25" borderId="113" xfId="3" applyFont="1" applyFill="1" applyBorder="1" applyAlignment="1">
      <alignment horizontal="center" vertical="center" wrapText="1"/>
    </xf>
    <xf numFmtId="0" fontId="13" fillId="4" borderId="40" xfId="3" applyFont="1" applyFill="1" applyBorder="1" applyAlignment="1">
      <alignment horizontal="center"/>
    </xf>
    <xf numFmtId="0" fontId="13" fillId="4" borderId="42" xfId="3" applyFont="1" applyFill="1" applyBorder="1" applyAlignment="1">
      <alignment horizontal="center"/>
    </xf>
    <xf numFmtId="0" fontId="13" fillId="4" borderId="71" xfId="3" applyFont="1" applyFill="1" applyBorder="1" applyAlignment="1">
      <alignment horizontal="center"/>
    </xf>
  </cellXfs>
  <cellStyles count="11">
    <cellStyle name="Excel Built-in Normal" xfId="1"/>
    <cellStyle name="Excel Built-in Percent" xfId="2"/>
    <cellStyle name="Normal" xfId="0" builtinId="0"/>
    <cellStyle name="Normal 2" xfId="3"/>
    <cellStyle name="Normal 3" xfId="4"/>
    <cellStyle name="Normal 3 2" xfId="7"/>
    <cellStyle name="Normal 4" xfId="9"/>
    <cellStyle name="Pourcentage" xfId="5" builtinId="5"/>
    <cellStyle name="Pourcentage 2" xfId="6"/>
    <cellStyle name="Pourcentage 2 2" xfId="8"/>
    <cellStyle name="Pourcentage 4" xfId="10"/>
  </cellStyles>
  <dxfs count="18">
    <dxf>
      <font>
        <color rgb="FF006100"/>
      </font>
      <fill>
        <patternFill patternType="none">
          <fgColor indexed="64"/>
          <bgColor indexed="65"/>
        </patternFill>
      </fill>
    </dxf>
    <dxf>
      <font>
        <color rgb="FF0000FF"/>
      </font>
      <fill>
        <patternFill patternType="none">
          <fgColor indexed="64"/>
          <bgColor indexed="65"/>
        </patternFill>
      </fill>
    </dxf>
    <dxf>
      <font>
        <color rgb="FF006100"/>
      </font>
      <fill>
        <patternFill patternType="none">
          <fgColor indexed="64"/>
          <bgColor indexed="65"/>
        </patternFill>
      </fill>
    </dxf>
    <dxf>
      <font>
        <color rgb="FF0000FF"/>
      </font>
      <fill>
        <patternFill patternType="none">
          <fgColor indexed="64"/>
          <bgColor indexed="65"/>
        </patternFill>
      </fill>
    </dxf>
    <dxf>
      <font>
        <color rgb="FF006100"/>
      </font>
      <fill>
        <patternFill patternType="none">
          <fgColor indexed="64"/>
          <bgColor indexed="65"/>
        </patternFill>
      </fill>
    </dxf>
    <dxf>
      <font>
        <color rgb="FF0000FF"/>
      </font>
      <fill>
        <patternFill patternType="none">
          <fgColor indexed="64"/>
          <bgColor indexed="65"/>
        </patternFill>
      </fill>
    </dxf>
    <dxf>
      <font>
        <color rgb="FF006100"/>
      </font>
      <fill>
        <patternFill patternType="none">
          <fgColor indexed="64"/>
          <bgColor indexed="65"/>
        </patternFill>
      </fill>
    </dxf>
    <dxf>
      <font>
        <color rgb="FF0000FF"/>
      </font>
      <fill>
        <patternFill patternType="none">
          <fgColor indexed="64"/>
          <bgColor indexed="65"/>
        </patternFill>
      </fill>
    </dxf>
    <dxf>
      <font>
        <color rgb="FF006100"/>
      </font>
      <fill>
        <patternFill patternType="none">
          <fgColor indexed="64"/>
          <bgColor indexed="65"/>
        </patternFill>
      </fill>
    </dxf>
    <dxf>
      <font>
        <color rgb="FF0000FF"/>
      </font>
      <fill>
        <patternFill patternType="none">
          <fgColor indexed="64"/>
          <bgColor indexed="65"/>
        </patternFill>
      </fill>
    </dxf>
    <dxf>
      <font>
        <color rgb="FF006100"/>
      </font>
      <fill>
        <patternFill patternType="none">
          <fgColor indexed="64"/>
          <bgColor indexed="65"/>
        </patternFill>
      </fill>
    </dxf>
    <dxf>
      <font>
        <color rgb="FF0000FF"/>
      </font>
      <fill>
        <patternFill patternType="none">
          <fgColor indexed="64"/>
          <bgColor indexed="65"/>
        </patternFill>
      </fill>
    </dxf>
    <dxf>
      <font>
        <color rgb="FF006100"/>
      </font>
      <fill>
        <patternFill patternType="none">
          <fgColor indexed="64"/>
          <bgColor indexed="65"/>
        </patternFill>
      </fill>
    </dxf>
    <dxf>
      <font>
        <color rgb="FF0000FF"/>
      </font>
      <fill>
        <patternFill patternType="none">
          <fgColor indexed="64"/>
          <bgColor indexed="65"/>
        </patternFill>
      </fill>
    </dxf>
    <dxf>
      <font>
        <color rgb="FF006100"/>
      </font>
      <fill>
        <patternFill patternType="none">
          <fgColor indexed="64"/>
          <bgColor indexed="65"/>
        </patternFill>
      </fill>
    </dxf>
    <dxf>
      <font>
        <color rgb="FF0000FF"/>
      </font>
      <fill>
        <patternFill patternType="none">
          <fgColor indexed="64"/>
          <bgColor indexed="65"/>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FF"/>
      <rgbColor rgb="00FFFF00"/>
      <rgbColor rgb="00FF00FF"/>
      <rgbColor rgb="0000FFFF"/>
      <rgbColor rgb="00800000"/>
      <rgbColor rgb="00008000"/>
      <rgbColor rgb="00000080"/>
      <rgbColor rgb="00808000"/>
      <rgbColor rgb="00800080"/>
      <rgbColor rgb="00008080"/>
      <rgbColor rgb="00C0C0C0"/>
      <rgbColor rgb="007F7F7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D4"/>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EF1"/>
      <color rgb="FFFFFE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JLT\CIG%20EN%20COURS\DLA\%20CAF\CNAF%202019\CNAF%202016%20copie\MODELE%20PRESENTATION%20CRECHES%20V16-2%20cop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O126"/>
  <sheetViews>
    <sheetView zoomScale="120" zoomScaleNormal="120" workbookViewId="0">
      <pane xSplit="5" ySplit="15" topLeftCell="F34" activePane="bottomRight" state="frozen"/>
      <selection pane="topRight" activeCell="F1" sqref="F1"/>
      <selection pane="bottomLeft" activeCell="A16" sqref="A16"/>
      <selection pane="bottomRight" activeCell="C5" sqref="C5"/>
    </sheetView>
  </sheetViews>
  <sheetFormatPr baseColWidth="10" defaultRowHeight="12.75"/>
  <cols>
    <col min="1" max="3" width="11.875" customWidth="1"/>
    <col min="4" max="4" width="16.125" style="178" hidden="1" customWidth="1"/>
    <col min="5" max="5" width="4.875" style="178" hidden="1" customWidth="1"/>
    <col min="6" max="14" width="12.875" customWidth="1"/>
  </cols>
  <sheetData>
    <row r="4" spans="1:14" ht="15">
      <c r="B4" s="389" t="s">
        <v>322</v>
      </c>
      <c r="C4" s="390" t="s">
        <v>244</v>
      </c>
    </row>
    <row r="5" spans="1:14">
      <c r="C5" s="150" t="s">
        <v>308</v>
      </c>
    </row>
    <row r="7" spans="1:14" ht="13.5" thickBot="1"/>
    <row r="8" spans="1:14" ht="13.5" thickBot="1">
      <c r="A8" s="535" t="s">
        <v>36</v>
      </c>
      <c r="B8" s="536"/>
      <c r="C8" s="536"/>
      <c r="D8" s="536"/>
      <c r="E8" s="536"/>
      <c r="F8" s="536"/>
      <c r="G8" s="536"/>
      <c r="H8" s="536"/>
      <c r="I8" s="536"/>
      <c r="J8" s="536"/>
      <c r="K8" s="536"/>
      <c r="L8" s="536"/>
      <c r="M8" s="536"/>
      <c r="N8" s="537"/>
    </row>
    <row r="9" spans="1:14" ht="18">
      <c r="A9" s="25" t="s">
        <v>37</v>
      </c>
      <c r="B9" s="26"/>
      <c r="C9" s="26"/>
      <c r="D9" s="179"/>
      <c r="E9" s="179"/>
      <c r="F9" s="26"/>
      <c r="G9" s="26"/>
      <c r="H9" s="26"/>
      <c r="I9" s="26"/>
      <c r="J9" s="26"/>
      <c r="K9" s="26"/>
      <c r="L9" s="17"/>
      <c r="M9" s="17"/>
      <c r="N9" s="18"/>
    </row>
    <row r="10" spans="1:14" ht="18">
      <c r="A10" s="27"/>
      <c r="B10" s="28" t="s">
        <v>38</v>
      </c>
      <c r="C10" s="28"/>
      <c r="D10" s="180"/>
      <c r="E10" s="180"/>
      <c r="F10" s="28"/>
      <c r="G10" s="28"/>
      <c r="H10" s="28"/>
      <c r="I10" s="28"/>
      <c r="J10" s="28"/>
      <c r="K10" s="28"/>
      <c r="L10" s="20"/>
      <c r="M10" s="20"/>
      <c r="N10" s="21"/>
    </row>
    <row r="11" spans="1:14" ht="18">
      <c r="A11" s="29" t="s">
        <v>39</v>
      </c>
      <c r="B11" s="30"/>
      <c r="C11" s="30"/>
      <c r="D11" s="181"/>
      <c r="E11" s="181"/>
      <c r="F11" s="30"/>
      <c r="G11" s="30"/>
      <c r="H11" s="30"/>
      <c r="I11" s="20"/>
      <c r="J11" s="20"/>
      <c r="K11" s="20"/>
      <c r="L11" s="20"/>
      <c r="M11" s="20"/>
      <c r="N11" s="21"/>
    </row>
    <row r="12" spans="1:14" ht="18">
      <c r="A12" s="19"/>
      <c r="B12" s="20"/>
      <c r="C12" s="20"/>
      <c r="D12" s="182"/>
      <c r="E12" s="182"/>
      <c r="F12" s="20"/>
      <c r="G12" s="20"/>
      <c r="H12" s="20"/>
      <c r="I12" s="20"/>
      <c r="J12" s="20"/>
      <c r="K12" s="20"/>
      <c r="L12" s="20"/>
      <c r="M12" s="20"/>
      <c r="N12" s="21"/>
    </row>
    <row r="13" spans="1:14" ht="18">
      <c r="A13" s="31"/>
      <c r="B13" s="20"/>
      <c r="C13" s="20"/>
      <c r="D13" s="182"/>
      <c r="E13" s="182"/>
      <c r="F13" s="20"/>
      <c r="G13" s="20"/>
      <c r="H13" s="20"/>
      <c r="I13" s="20"/>
      <c r="J13" s="20"/>
      <c r="K13" s="20"/>
      <c r="L13" s="20"/>
      <c r="M13" s="20"/>
      <c r="N13" s="21"/>
    </row>
    <row r="14" spans="1:14" ht="18">
      <c r="A14" s="19" t="s">
        <v>277</v>
      </c>
      <c r="B14" s="20"/>
      <c r="C14" s="20"/>
      <c r="D14" s="182"/>
      <c r="E14" s="182"/>
      <c r="F14" s="20"/>
      <c r="G14" s="20"/>
      <c r="H14" s="20"/>
      <c r="I14" s="20"/>
      <c r="J14" s="20"/>
      <c r="K14" s="20"/>
      <c r="L14" s="20"/>
      <c r="M14" s="20"/>
      <c r="N14" s="21"/>
    </row>
    <row r="15" spans="1:14" ht="18.75" thickBot="1">
      <c r="A15" s="22" t="s">
        <v>278</v>
      </c>
      <c r="B15" s="23"/>
      <c r="C15" s="23"/>
      <c r="D15" s="183"/>
      <c r="E15" s="183"/>
      <c r="F15" s="23"/>
      <c r="G15" s="23"/>
      <c r="H15" s="23"/>
      <c r="I15" s="23"/>
      <c r="J15" s="23"/>
      <c r="K15" s="23"/>
      <c r="L15" s="23"/>
      <c r="M15" s="23"/>
      <c r="N15" s="24"/>
    </row>
    <row r="17" spans="1:15" ht="13.5" thickBot="1"/>
    <row r="18" spans="1:15" ht="18.75" thickBot="1">
      <c r="A18" s="538" t="s">
        <v>42</v>
      </c>
      <c r="B18" s="539"/>
      <c r="C18" s="540"/>
      <c r="D18" s="194">
        <f>1.0001%</f>
        <v>1.0000999999999999E-2</v>
      </c>
      <c r="E18" s="184"/>
      <c r="F18" s="165">
        <v>2017</v>
      </c>
      <c r="G18" s="165">
        <v>2018</v>
      </c>
      <c r="H18" s="165">
        <v>2019</v>
      </c>
      <c r="I18" s="165">
        <v>2020</v>
      </c>
      <c r="J18" s="165">
        <v>2021</v>
      </c>
      <c r="K18" s="165">
        <v>2022</v>
      </c>
      <c r="L18" s="165">
        <v>2023</v>
      </c>
      <c r="M18" s="165">
        <v>2024</v>
      </c>
      <c r="N18" s="166">
        <v>2025</v>
      </c>
    </row>
    <row r="19" spans="1:15" s="3" customFormat="1" ht="20.100000000000001" customHeight="1">
      <c r="A19" s="541" t="s">
        <v>0</v>
      </c>
      <c r="B19" s="11" t="s">
        <v>1</v>
      </c>
      <c r="C19" s="222">
        <v>1.07</v>
      </c>
      <c r="D19" s="190">
        <f>C19+0.0001%</f>
        <v>1.070001</v>
      </c>
      <c r="E19" s="175">
        <v>1</v>
      </c>
      <c r="F19" s="485">
        <v>8.3699999999999992</v>
      </c>
      <c r="G19" s="485">
        <v>8.5</v>
      </c>
      <c r="H19" s="485">
        <v>8.5</v>
      </c>
      <c r="I19" s="485">
        <v>8.58</v>
      </c>
      <c r="J19" s="223">
        <v>8.67</v>
      </c>
      <c r="K19" s="453">
        <f t="shared" ref="K19:K24" si="0">J19*1.01</f>
        <v>8.7567000000000004</v>
      </c>
      <c r="L19" s="450">
        <f>K19*1.01</f>
        <v>8.8442670000000003</v>
      </c>
      <c r="M19" s="223">
        <f t="shared" ref="M19:N24" si="1">L19*1.01</f>
        <v>8.9327096700000013</v>
      </c>
      <c r="N19" s="224">
        <f t="shared" si="1"/>
        <v>9.0220367667000012</v>
      </c>
    </row>
    <row r="20" spans="1:15" s="3" customFormat="1" ht="20.100000000000001" customHeight="1">
      <c r="A20" s="542"/>
      <c r="B20" s="12" t="str">
        <f>"DE "&amp;C19*100&amp;"% A"</f>
        <v>DE 107% A</v>
      </c>
      <c r="C20" s="459">
        <v>1.17</v>
      </c>
      <c r="D20" s="191">
        <f>C20+0.0001%</f>
        <v>1.1700009999999998</v>
      </c>
      <c r="E20" s="176">
        <v>2</v>
      </c>
      <c r="F20" s="486">
        <v>7.75</v>
      </c>
      <c r="G20" s="486">
        <v>7.87</v>
      </c>
      <c r="H20" s="486">
        <v>7.87</v>
      </c>
      <c r="I20" s="486">
        <v>7.94</v>
      </c>
      <c r="J20" s="225">
        <v>8.02</v>
      </c>
      <c r="K20" s="454">
        <f t="shared" si="0"/>
        <v>8.1001999999999992</v>
      </c>
      <c r="L20" s="451">
        <f t="shared" ref="L20:L24" si="2">K20*1.01</f>
        <v>8.181201999999999</v>
      </c>
      <c r="M20" s="225">
        <f t="shared" si="1"/>
        <v>8.2630140199999982</v>
      </c>
      <c r="N20" s="226">
        <f t="shared" si="1"/>
        <v>8.3456441601999991</v>
      </c>
    </row>
    <row r="21" spans="1:15" s="3" customFormat="1" ht="20.100000000000001" customHeight="1" thickBot="1">
      <c r="A21" s="543"/>
      <c r="B21" s="544" t="str">
        <f>"AU DELA DE "&amp;C20*100&amp;"%"</f>
        <v>AU DELA DE 117%</v>
      </c>
      <c r="C21" s="545"/>
      <c r="D21" s="177"/>
      <c r="E21" s="177">
        <v>3</v>
      </c>
      <c r="F21" s="487">
        <v>7.17</v>
      </c>
      <c r="G21" s="487">
        <v>7.28</v>
      </c>
      <c r="H21" s="487">
        <v>7.28</v>
      </c>
      <c r="I21" s="487">
        <v>7.35</v>
      </c>
      <c r="J21" s="227">
        <v>7.42</v>
      </c>
      <c r="K21" s="455">
        <f t="shared" si="0"/>
        <v>7.4942000000000002</v>
      </c>
      <c r="L21" s="452">
        <f t="shared" si="2"/>
        <v>7.5691420000000003</v>
      </c>
      <c r="M21" s="227">
        <f t="shared" si="1"/>
        <v>7.6448334200000003</v>
      </c>
      <c r="N21" s="228">
        <f t="shared" si="1"/>
        <v>7.7212817542000005</v>
      </c>
    </row>
    <row r="22" spans="1:15" s="3" customFormat="1" ht="20.100000000000001" customHeight="1">
      <c r="A22" s="541" t="s">
        <v>2</v>
      </c>
      <c r="B22" s="11" t="s">
        <v>1</v>
      </c>
      <c r="C22" s="16">
        <f>C19</f>
        <v>1.07</v>
      </c>
      <c r="D22" s="13"/>
      <c r="E22" s="175">
        <v>1</v>
      </c>
      <c r="F22" s="488">
        <v>7.75</v>
      </c>
      <c r="G22" s="488">
        <v>7.87</v>
      </c>
      <c r="H22" s="488">
        <v>7.87</v>
      </c>
      <c r="I22" s="488">
        <v>7.94</v>
      </c>
      <c r="J22" s="223">
        <v>8.02</v>
      </c>
      <c r="K22" s="456">
        <f t="shared" si="0"/>
        <v>8.1001999999999992</v>
      </c>
      <c r="L22" s="450">
        <f t="shared" si="2"/>
        <v>8.181201999999999</v>
      </c>
      <c r="M22" s="223">
        <f t="shared" si="1"/>
        <v>8.2630140199999982</v>
      </c>
      <c r="N22" s="229">
        <f t="shared" si="1"/>
        <v>8.3456441601999991</v>
      </c>
    </row>
    <row r="23" spans="1:15" s="3" customFormat="1" ht="20.100000000000001" customHeight="1">
      <c r="A23" s="542"/>
      <c r="B23" s="12" t="str">
        <f>"DE "&amp;C22*100&amp;"% A"</f>
        <v>DE 107% A</v>
      </c>
      <c r="C23" s="15">
        <f>C20</f>
        <v>1.17</v>
      </c>
      <c r="D23" s="14"/>
      <c r="E23" s="176">
        <v>2</v>
      </c>
      <c r="F23" s="489">
        <v>7.17</v>
      </c>
      <c r="G23" s="489">
        <v>7.28</v>
      </c>
      <c r="H23" s="489">
        <v>7.28</v>
      </c>
      <c r="I23" s="489">
        <v>7.35</v>
      </c>
      <c r="J23" s="225">
        <v>7.42</v>
      </c>
      <c r="K23" s="457">
        <f t="shared" si="0"/>
        <v>7.4942000000000002</v>
      </c>
      <c r="L23" s="451">
        <f t="shared" si="2"/>
        <v>7.5691420000000003</v>
      </c>
      <c r="M23" s="225">
        <f t="shared" si="1"/>
        <v>7.6448334200000003</v>
      </c>
      <c r="N23" s="230">
        <f t="shared" si="1"/>
        <v>7.7212817542000005</v>
      </c>
    </row>
    <row r="24" spans="1:15" s="3" customFormat="1" ht="20.100000000000001" customHeight="1" thickBot="1">
      <c r="A24" s="543"/>
      <c r="B24" s="544" t="str">
        <f>"AU DELA DE "&amp;C23*100&amp;"%"</f>
        <v>AU DELA DE 117%</v>
      </c>
      <c r="C24" s="545"/>
      <c r="D24" s="177"/>
      <c r="E24" s="177">
        <v>3</v>
      </c>
      <c r="F24" s="490">
        <v>6.89</v>
      </c>
      <c r="G24" s="490">
        <v>6.99</v>
      </c>
      <c r="H24" s="490">
        <v>6.99</v>
      </c>
      <c r="I24" s="490">
        <v>7.06</v>
      </c>
      <c r="J24" s="227">
        <v>7.13</v>
      </c>
      <c r="K24" s="458">
        <f t="shared" si="0"/>
        <v>7.2012999999999998</v>
      </c>
      <c r="L24" s="452">
        <f t="shared" si="2"/>
        <v>7.2733129999999999</v>
      </c>
      <c r="M24" s="227">
        <f t="shared" si="1"/>
        <v>7.3460461300000004</v>
      </c>
      <c r="N24" s="231">
        <f t="shared" si="1"/>
        <v>7.4195065913000002</v>
      </c>
    </row>
    <row r="25" spans="1:15" ht="18">
      <c r="A25" s="20"/>
      <c r="B25" s="20"/>
      <c r="C25" s="20"/>
      <c r="D25" s="182"/>
      <c r="E25" s="182"/>
      <c r="F25" s="20"/>
      <c r="G25" s="20"/>
      <c r="H25" s="20"/>
      <c r="I25" s="20"/>
      <c r="J25" s="20"/>
      <c r="K25" s="20"/>
      <c r="L25" s="20"/>
      <c r="M25" s="20"/>
      <c r="N25" s="20"/>
      <c r="O25" s="1"/>
    </row>
    <row r="26" spans="1:15" ht="18.75" thickBot="1">
      <c r="A26" s="149" t="s">
        <v>115</v>
      </c>
      <c r="B26" s="20"/>
      <c r="C26" s="20"/>
      <c r="D26" s="182"/>
      <c r="E26" s="182"/>
      <c r="F26" s="20"/>
      <c r="G26" s="20"/>
      <c r="H26" s="20"/>
      <c r="I26" s="20"/>
      <c r="N26" s="20"/>
      <c r="O26" s="1"/>
    </row>
    <row r="27" spans="1:15" ht="44.1" customHeight="1" thickBot="1">
      <c r="A27" s="546" t="s">
        <v>276</v>
      </c>
      <c r="B27" s="547"/>
      <c r="C27" s="547"/>
      <c r="D27" s="547"/>
      <c r="E27" s="547"/>
      <c r="F27" s="547"/>
      <c r="G27" s="547"/>
      <c r="H27" s="547"/>
      <c r="I27" s="547"/>
      <c r="J27" s="547"/>
      <c r="K27" s="547"/>
      <c r="L27" s="547"/>
      <c r="M27" s="547"/>
      <c r="N27" s="548"/>
      <c r="O27" s="1"/>
    </row>
    <row r="28" spans="1:15" ht="18.75" thickBot="1">
      <c r="A28" s="149"/>
      <c r="B28" s="20"/>
      <c r="C28" s="20"/>
      <c r="D28" s="182"/>
      <c r="E28" s="182"/>
      <c r="F28" s="164">
        <f>F$18</f>
        <v>2017</v>
      </c>
      <c r="G28" s="164">
        <f t="shared" ref="G28:N28" si="3">G$18</f>
        <v>2018</v>
      </c>
      <c r="H28" s="164">
        <f t="shared" si="3"/>
        <v>2019</v>
      </c>
      <c r="I28" s="164">
        <f t="shared" si="3"/>
        <v>2020</v>
      </c>
      <c r="J28" s="164">
        <f t="shared" si="3"/>
        <v>2021</v>
      </c>
      <c r="K28" s="164">
        <f t="shared" si="3"/>
        <v>2022</v>
      </c>
      <c r="L28" s="164">
        <f t="shared" si="3"/>
        <v>2023</v>
      </c>
      <c r="M28" s="164">
        <f t="shared" si="3"/>
        <v>2024</v>
      </c>
      <c r="N28" s="164">
        <f t="shared" si="3"/>
        <v>2025</v>
      </c>
      <c r="O28" s="1"/>
    </row>
    <row r="29" spans="1:15" ht="12.95" customHeight="1">
      <c r="A29" s="551" t="s">
        <v>117</v>
      </c>
      <c r="B29" s="552"/>
      <c r="C29" s="552"/>
      <c r="D29" s="462"/>
      <c r="E29" s="462"/>
      <c r="F29" s="470">
        <v>0</v>
      </c>
      <c r="G29" s="471">
        <v>0</v>
      </c>
      <c r="H29" s="471">
        <v>0.75</v>
      </c>
      <c r="I29" s="471">
        <v>0.77</v>
      </c>
      <c r="J29" s="461">
        <v>0.79</v>
      </c>
      <c r="K29" s="461">
        <f t="shared" ref="K29" si="4">J29*1.01</f>
        <v>0.79790000000000005</v>
      </c>
      <c r="L29" s="461">
        <f t="shared" ref="L29" si="5">K29*1.01</f>
        <v>0.80587900000000001</v>
      </c>
      <c r="M29" s="461">
        <f t="shared" ref="M29" si="6">L29*1.01</f>
        <v>0.81393778999999999</v>
      </c>
      <c r="N29" s="461">
        <f t="shared" ref="N29" si="7">M29*1.01</f>
        <v>0.82207716789999996</v>
      </c>
      <c r="O29" s="1"/>
    </row>
    <row r="30" spans="1:15" ht="13.5" thickBot="1">
      <c r="A30" s="549" t="s">
        <v>274</v>
      </c>
      <c r="B30" s="550"/>
      <c r="C30" s="550"/>
      <c r="D30" s="463"/>
      <c r="E30" s="463"/>
      <c r="F30" s="472">
        <v>0</v>
      </c>
      <c r="G30" s="473">
        <v>0</v>
      </c>
      <c r="H30" s="473">
        <v>2100</v>
      </c>
      <c r="I30" s="473">
        <v>2100</v>
      </c>
      <c r="J30" s="460">
        <v>2100</v>
      </c>
      <c r="K30" s="460">
        <v>2100</v>
      </c>
      <c r="L30" s="460">
        <v>2100</v>
      </c>
      <c r="M30" s="460">
        <v>2100</v>
      </c>
      <c r="N30" s="460">
        <v>2100</v>
      </c>
      <c r="O30" s="1"/>
    </row>
    <row r="31" spans="1:15">
      <c r="A31" s="551" t="s">
        <v>117</v>
      </c>
      <c r="B31" s="552"/>
      <c r="C31" s="552"/>
      <c r="D31" s="167"/>
      <c r="E31" s="167"/>
      <c r="F31" s="470">
        <v>0</v>
      </c>
      <c r="G31" s="471">
        <v>0</v>
      </c>
      <c r="H31" s="471">
        <v>1</v>
      </c>
      <c r="I31" s="471">
        <v>1.02</v>
      </c>
      <c r="J31" s="461">
        <v>1.04</v>
      </c>
      <c r="K31" s="461">
        <f t="shared" ref="K31" si="8">J31*1.01</f>
        <v>1.0504</v>
      </c>
      <c r="L31" s="461">
        <f t="shared" ref="L31" si="9">K31*1.01</f>
        <v>1.0609040000000001</v>
      </c>
      <c r="M31" s="461">
        <f t="shared" ref="M31" si="10">L31*1.01</f>
        <v>1.0715130400000001</v>
      </c>
      <c r="N31" s="461">
        <f t="shared" ref="N31" si="11">M31*1.01</f>
        <v>1.0822281704000001</v>
      </c>
      <c r="O31" s="1"/>
    </row>
    <row r="32" spans="1:15" ht="13.5" thickBot="1">
      <c r="A32" s="549" t="s">
        <v>274</v>
      </c>
      <c r="B32" s="550"/>
      <c r="C32" s="550"/>
      <c r="D32" s="167"/>
      <c r="E32" s="167"/>
      <c r="F32" s="472">
        <v>0</v>
      </c>
      <c r="G32" s="473">
        <v>0</v>
      </c>
      <c r="H32" s="473">
        <v>800</v>
      </c>
      <c r="I32" s="473">
        <v>800</v>
      </c>
      <c r="J32" s="460">
        <v>800</v>
      </c>
      <c r="K32" s="460">
        <v>800</v>
      </c>
      <c r="L32" s="460">
        <v>800</v>
      </c>
      <c r="M32" s="460">
        <v>800</v>
      </c>
      <c r="N32" s="460">
        <v>800</v>
      </c>
      <c r="O32" s="1"/>
    </row>
    <row r="33" spans="1:15">
      <c r="A33" s="551" t="s">
        <v>117</v>
      </c>
      <c r="B33" s="552"/>
      <c r="C33" s="552"/>
      <c r="D33" s="167"/>
      <c r="E33" s="167"/>
      <c r="F33" s="470">
        <v>0</v>
      </c>
      <c r="G33" s="471">
        <v>0</v>
      </c>
      <c r="H33" s="471">
        <v>1.25</v>
      </c>
      <c r="I33" s="471">
        <v>1.28</v>
      </c>
      <c r="J33" s="461">
        <v>1.31</v>
      </c>
      <c r="K33" s="461">
        <f t="shared" ref="K33" si="12">J33*1.01</f>
        <v>1.3231000000000002</v>
      </c>
      <c r="L33" s="461">
        <f t="shared" ref="L33" si="13">K33*1.01</f>
        <v>1.3363310000000002</v>
      </c>
      <c r="M33" s="461">
        <f t="shared" ref="M33" si="14">L33*1.01</f>
        <v>1.3496943100000001</v>
      </c>
      <c r="N33" s="461">
        <f t="shared" ref="N33" si="15">M33*1.01</f>
        <v>1.3631912531000001</v>
      </c>
      <c r="O33" s="1"/>
    </row>
    <row r="34" spans="1:15" ht="13.5" thickBot="1">
      <c r="A34" s="549" t="s">
        <v>274</v>
      </c>
      <c r="B34" s="550"/>
      <c r="C34" s="550"/>
      <c r="D34" s="167"/>
      <c r="E34" s="167"/>
      <c r="F34" s="472">
        <v>0</v>
      </c>
      <c r="G34" s="473">
        <v>0</v>
      </c>
      <c r="H34" s="473">
        <v>300</v>
      </c>
      <c r="I34" s="473">
        <v>300</v>
      </c>
      <c r="J34" s="460">
        <v>300</v>
      </c>
      <c r="K34" s="460">
        <v>300</v>
      </c>
      <c r="L34" s="460">
        <v>300</v>
      </c>
      <c r="M34" s="460">
        <v>300</v>
      </c>
      <c r="N34" s="460">
        <v>300</v>
      </c>
      <c r="O34" s="1"/>
    </row>
    <row r="35" spans="1:15" ht="13.5" thickBot="1">
      <c r="A35" s="549" t="s">
        <v>275</v>
      </c>
      <c r="B35" s="550"/>
      <c r="C35" s="550"/>
      <c r="D35" s="167"/>
      <c r="E35" s="167"/>
      <c r="F35" s="472">
        <v>0</v>
      </c>
      <c r="G35" s="473">
        <v>0</v>
      </c>
      <c r="H35" s="473">
        <v>0</v>
      </c>
      <c r="I35" s="473">
        <v>0</v>
      </c>
      <c r="J35" s="460">
        <v>0</v>
      </c>
      <c r="K35" s="460">
        <v>0</v>
      </c>
      <c r="L35" s="460">
        <v>0</v>
      </c>
      <c r="M35" s="460">
        <v>0</v>
      </c>
      <c r="N35" s="460">
        <v>0</v>
      </c>
      <c r="O35" s="1"/>
    </row>
    <row r="36" spans="1:15">
      <c r="A36" s="151"/>
      <c r="B36" s="151"/>
      <c r="C36" s="151"/>
      <c r="D36" s="167"/>
      <c r="E36" s="167"/>
      <c r="F36" s="151"/>
      <c r="G36" s="151"/>
      <c r="H36" s="151"/>
      <c r="I36" s="151"/>
      <c r="O36" s="1"/>
    </row>
    <row r="37" spans="1:15">
      <c r="A37" s="151"/>
      <c r="B37" s="151"/>
      <c r="C37" s="151"/>
      <c r="D37" s="167"/>
      <c r="E37" s="167"/>
      <c r="F37" s="151"/>
      <c r="G37" s="151"/>
      <c r="H37" s="151"/>
      <c r="I37" s="151"/>
      <c r="O37" s="1"/>
    </row>
    <row r="38" spans="1:15" ht="18.75" thickBot="1">
      <c r="A38" s="149" t="s">
        <v>241</v>
      </c>
      <c r="B38" s="151"/>
      <c r="C38" s="151"/>
      <c r="D38" s="167"/>
      <c r="E38" s="167"/>
      <c r="F38" s="151"/>
      <c r="G38" s="151"/>
      <c r="H38" s="151"/>
      <c r="I38" s="151"/>
      <c r="N38" s="151"/>
      <c r="O38" s="1"/>
    </row>
    <row r="39" spans="1:15" ht="18.75" thickBot="1">
      <c r="A39" s="149"/>
      <c r="B39" s="151"/>
      <c r="C39" s="151"/>
      <c r="D39" s="167"/>
      <c r="E39" s="167"/>
      <c r="F39" s="164">
        <f>F$18</f>
        <v>2017</v>
      </c>
      <c r="G39" s="164">
        <f t="shared" ref="G39:N39" si="16">G$18</f>
        <v>2018</v>
      </c>
      <c r="H39" s="164">
        <f t="shared" si="16"/>
        <v>2019</v>
      </c>
      <c r="I39" s="164">
        <f t="shared" si="16"/>
        <v>2020</v>
      </c>
      <c r="J39" s="164">
        <f t="shared" si="16"/>
        <v>2021</v>
      </c>
      <c r="K39" s="164">
        <f t="shared" si="16"/>
        <v>2022</v>
      </c>
      <c r="L39" s="164">
        <f t="shared" si="16"/>
        <v>2023</v>
      </c>
      <c r="M39" s="164">
        <f t="shared" si="16"/>
        <v>2024</v>
      </c>
      <c r="N39" s="164">
        <f t="shared" si="16"/>
        <v>2025</v>
      </c>
      <c r="O39" s="1"/>
    </row>
    <row r="40" spans="1:15" ht="57.95" customHeight="1" thickBot="1">
      <c r="A40" s="514" t="s">
        <v>110</v>
      </c>
      <c r="B40" s="515"/>
      <c r="C40" s="516"/>
      <c r="D40" s="185"/>
      <c r="E40" s="167"/>
      <c r="F40" s="152" t="s">
        <v>111</v>
      </c>
      <c r="G40" s="152" t="s">
        <v>111</v>
      </c>
      <c r="H40" s="152" t="s">
        <v>111</v>
      </c>
      <c r="I40" s="152" t="s">
        <v>111</v>
      </c>
      <c r="J40" s="152" t="s">
        <v>111</v>
      </c>
      <c r="K40" s="152" t="s">
        <v>111</v>
      </c>
      <c r="L40" s="152" t="s">
        <v>111</v>
      </c>
      <c r="M40" s="152" t="s">
        <v>111</v>
      </c>
      <c r="N40" s="152" t="s">
        <v>111</v>
      </c>
      <c r="O40" s="1"/>
    </row>
    <row r="41" spans="1:15">
      <c r="A41" s="517" t="s">
        <v>1</v>
      </c>
      <c r="B41" s="518"/>
      <c r="C41" s="232">
        <v>0.05</v>
      </c>
      <c r="D41" s="195">
        <f>0.0001%</f>
        <v>9.9999999999999995E-7</v>
      </c>
      <c r="E41" s="167">
        <v>1</v>
      </c>
      <c r="F41" s="474">
        <v>0</v>
      </c>
      <c r="G41" s="474">
        <v>0</v>
      </c>
      <c r="H41" s="474">
        <v>0.15</v>
      </c>
      <c r="I41" s="474">
        <v>0.15</v>
      </c>
      <c r="J41" s="233">
        <v>0.15</v>
      </c>
      <c r="K41" s="233">
        <v>0.15</v>
      </c>
      <c r="L41" s="233">
        <v>0.15</v>
      </c>
      <c r="M41" s="233">
        <v>0.15</v>
      </c>
      <c r="N41" s="233">
        <v>0.15</v>
      </c>
      <c r="O41" s="1"/>
    </row>
    <row r="42" spans="1:15">
      <c r="A42" s="517" t="str">
        <f>"DE "&amp;C41*100&amp;"% A"</f>
        <v>DE 5% A</v>
      </c>
      <c r="B42" s="518"/>
      <c r="C42" s="232">
        <v>7.4999999999999997E-2</v>
      </c>
      <c r="D42" s="192">
        <f>C41+0.0001%</f>
        <v>5.0001000000000004E-2</v>
      </c>
      <c r="E42" s="167">
        <v>2</v>
      </c>
      <c r="F42" s="475">
        <v>0</v>
      </c>
      <c r="G42" s="475">
        <v>0</v>
      </c>
      <c r="H42" s="475">
        <v>0.3</v>
      </c>
      <c r="I42" s="475">
        <v>0.3</v>
      </c>
      <c r="J42" s="234">
        <v>0.3</v>
      </c>
      <c r="K42" s="234">
        <v>0.3</v>
      </c>
      <c r="L42" s="234">
        <v>0.3</v>
      </c>
      <c r="M42" s="234">
        <v>0.3</v>
      </c>
      <c r="N42" s="234">
        <v>0.3</v>
      </c>
      <c r="O42" s="1"/>
    </row>
    <row r="43" spans="1:15" ht="13.5" thickBot="1">
      <c r="A43" s="525" t="str">
        <f>"AU DELA DE "&amp;C42*100&amp;"%"</f>
        <v>AU DELA DE 7,5%</v>
      </c>
      <c r="B43" s="526"/>
      <c r="C43" s="527"/>
      <c r="D43" s="193">
        <f>C42+0.0001%</f>
        <v>7.5000999999999998E-2</v>
      </c>
      <c r="E43" s="167">
        <v>3</v>
      </c>
      <c r="F43" s="476">
        <v>0</v>
      </c>
      <c r="G43" s="476">
        <v>0</v>
      </c>
      <c r="H43" s="476">
        <v>0.45</v>
      </c>
      <c r="I43" s="476">
        <v>0.45</v>
      </c>
      <c r="J43" s="235">
        <v>0.45</v>
      </c>
      <c r="K43" s="235">
        <v>0.45</v>
      </c>
      <c r="L43" s="235">
        <v>0.45</v>
      </c>
      <c r="M43" s="235">
        <v>0.45</v>
      </c>
      <c r="N43" s="235">
        <v>0.45</v>
      </c>
      <c r="O43" s="1"/>
    </row>
    <row r="44" spans="1:15" ht="36" customHeight="1" thickBot="1">
      <c r="A44" s="522" t="s">
        <v>127</v>
      </c>
      <c r="B44" s="523"/>
      <c r="C44" s="524"/>
      <c r="D44" s="167"/>
      <c r="E44" s="167"/>
      <c r="F44" s="477">
        <v>0</v>
      </c>
      <c r="G44" s="477">
        <v>0</v>
      </c>
      <c r="H44" s="477">
        <v>1300</v>
      </c>
      <c r="I44" s="477">
        <v>1300</v>
      </c>
      <c r="J44" s="236">
        <v>1300</v>
      </c>
      <c r="K44" s="236">
        <v>1300</v>
      </c>
      <c r="L44" s="236">
        <v>1300</v>
      </c>
      <c r="M44" s="236">
        <v>1300</v>
      </c>
      <c r="N44" s="236">
        <v>1300</v>
      </c>
      <c r="O44" s="1"/>
    </row>
    <row r="45" spans="1:15" ht="13.5" thickBot="1">
      <c r="A45" s="151"/>
      <c r="B45" s="151"/>
      <c r="C45" s="151"/>
      <c r="D45" s="167"/>
      <c r="E45" s="167"/>
      <c r="F45" s="151"/>
      <c r="G45" s="151"/>
      <c r="H45" s="151"/>
      <c r="I45" s="151"/>
      <c r="J45" s="151"/>
      <c r="K45" s="151"/>
      <c r="L45" s="151"/>
      <c r="M45" s="151"/>
      <c r="N45" s="151"/>
      <c r="O45" s="1"/>
    </row>
    <row r="46" spans="1:15" ht="13.5" thickBot="1">
      <c r="A46" s="514" t="s">
        <v>130</v>
      </c>
      <c r="B46" s="515"/>
      <c r="C46" s="516"/>
      <c r="D46" s="185"/>
      <c r="E46" s="185"/>
      <c r="O46" s="1"/>
    </row>
    <row r="47" spans="1:15">
      <c r="A47" s="258" t="str">
        <f>A41</f>
        <v>JUSQU'À</v>
      </c>
      <c r="B47" s="161">
        <f>C41</f>
        <v>0.05</v>
      </c>
      <c r="C47" s="162" t="s">
        <v>133</v>
      </c>
      <c r="D47" s="196">
        <f>D41</f>
        <v>9.9999999999999995E-7</v>
      </c>
      <c r="E47" s="178">
        <v>1</v>
      </c>
      <c r="F47" s="478">
        <v>0</v>
      </c>
      <c r="G47" s="478">
        <v>0</v>
      </c>
      <c r="H47" s="478">
        <v>16000</v>
      </c>
      <c r="I47" s="478">
        <v>16000</v>
      </c>
      <c r="J47" s="237">
        <v>16000</v>
      </c>
      <c r="K47" s="237">
        <v>16000</v>
      </c>
      <c r="L47" s="237">
        <v>16000</v>
      </c>
      <c r="M47" s="237">
        <v>16000</v>
      </c>
      <c r="N47" s="237">
        <v>16000</v>
      </c>
      <c r="O47" s="1"/>
    </row>
    <row r="48" spans="1:15" ht="13.5" thickBot="1">
      <c r="A48" s="159"/>
      <c r="B48" s="169"/>
      <c r="C48" s="163"/>
      <c r="D48" s="196"/>
      <c r="E48" s="178">
        <v>2</v>
      </c>
      <c r="F48" s="200">
        <v>0</v>
      </c>
      <c r="G48" s="200">
        <v>0</v>
      </c>
      <c r="H48" s="200">
        <v>0</v>
      </c>
      <c r="I48" s="200">
        <v>0</v>
      </c>
      <c r="J48" s="200">
        <v>0</v>
      </c>
      <c r="K48" s="200">
        <v>0</v>
      </c>
      <c r="L48" s="200">
        <v>0</v>
      </c>
      <c r="M48" s="200">
        <v>0</v>
      </c>
      <c r="N48" s="200">
        <v>0</v>
      </c>
      <c r="O48" s="1"/>
    </row>
    <row r="49" spans="1:15">
      <c r="A49" s="533" t="str">
        <f>A42</f>
        <v>DE 5% A</v>
      </c>
      <c r="B49" s="534">
        <f>C42</f>
        <v>7.4999999999999997E-2</v>
      </c>
      <c r="C49" s="168" t="s">
        <v>131</v>
      </c>
      <c r="D49" s="196">
        <f>D42</f>
        <v>5.0001000000000004E-2</v>
      </c>
      <c r="E49" s="178">
        <v>3</v>
      </c>
      <c r="F49" s="478">
        <v>0</v>
      </c>
      <c r="G49" s="478">
        <v>0</v>
      </c>
      <c r="H49" s="478">
        <v>8000</v>
      </c>
      <c r="I49" s="478">
        <v>8000</v>
      </c>
      <c r="J49" s="237">
        <v>8000</v>
      </c>
      <c r="K49" s="237">
        <v>8000</v>
      </c>
      <c r="L49" s="237">
        <v>8000</v>
      </c>
      <c r="M49" s="237">
        <v>8000</v>
      </c>
      <c r="N49" s="237">
        <v>8000</v>
      </c>
      <c r="O49" s="1"/>
    </row>
    <row r="50" spans="1:15" ht="26.25" thickBot="1">
      <c r="A50" s="533"/>
      <c r="B50" s="534"/>
      <c r="C50" s="170" t="s">
        <v>132</v>
      </c>
      <c r="D50" s="196"/>
      <c r="E50" s="178">
        <v>4</v>
      </c>
      <c r="F50" s="479">
        <v>0</v>
      </c>
      <c r="G50" s="479">
        <v>0</v>
      </c>
      <c r="H50" s="479">
        <v>160000</v>
      </c>
      <c r="I50" s="479">
        <v>160000</v>
      </c>
      <c r="J50" s="238">
        <v>160000</v>
      </c>
      <c r="K50" s="238">
        <v>160000</v>
      </c>
      <c r="L50" s="238">
        <v>160000</v>
      </c>
      <c r="M50" s="238">
        <v>160000</v>
      </c>
      <c r="N50" s="238">
        <v>160000</v>
      </c>
      <c r="O50" s="1"/>
    </row>
    <row r="51" spans="1:15">
      <c r="A51" s="171" t="str">
        <f>A43</f>
        <v>AU DELA DE 7,5%</v>
      </c>
      <c r="B51" s="172"/>
      <c r="C51" s="173" t="s">
        <v>133</v>
      </c>
      <c r="D51" s="196">
        <f>D43</f>
        <v>7.5000999999999998E-2</v>
      </c>
      <c r="E51" s="178">
        <v>5</v>
      </c>
      <c r="F51" s="480">
        <v>0</v>
      </c>
      <c r="G51" s="480">
        <v>0</v>
      </c>
      <c r="H51" s="480">
        <v>20000</v>
      </c>
      <c r="I51" s="480">
        <v>20000</v>
      </c>
      <c r="J51" s="239">
        <v>20000</v>
      </c>
      <c r="K51" s="239">
        <v>20000</v>
      </c>
      <c r="L51" s="239">
        <v>20000</v>
      </c>
      <c r="M51" s="239">
        <v>20000</v>
      </c>
      <c r="N51" s="239">
        <v>20000</v>
      </c>
      <c r="O51" s="1"/>
    </row>
    <row r="52" spans="1:15" ht="13.5" thickBot="1">
      <c r="A52" s="159"/>
      <c r="B52" s="160"/>
      <c r="C52" s="163"/>
      <c r="D52" s="196"/>
      <c r="E52" s="178">
        <v>6</v>
      </c>
      <c r="F52" s="200">
        <v>0</v>
      </c>
      <c r="G52" s="200">
        <v>0</v>
      </c>
      <c r="H52" s="200">
        <v>0</v>
      </c>
      <c r="I52" s="200">
        <v>0</v>
      </c>
      <c r="J52" s="200">
        <v>0</v>
      </c>
      <c r="K52" s="200">
        <v>0</v>
      </c>
      <c r="L52" s="200">
        <v>0</v>
      </c>
      <c r="M52" s="200">
        <v>0</v>
      </c>
      <c r="N52" s="200">
        <v>0</v>
      </c>
      <c r="O52" s="1"/>
    </row>
    <row r="53" spans="1:15" ht="18">
      <c r="A53" s="20"/>
      <c r="B53" s="20"/>
      <c r="H53" s="151"/>
      <c r="I53" s="20"/>
      <c r="N53" s="151"/>
      <c r="O53" s="1"/>
    </row>
    <row r="54" spans="1:15" ht="18">
      <c r="A54" s="20"/>
      <c r="B54" s="20"/>
      <c r="H54" s="20"/>
      <c r="I54" s="20"/>
      <c r="N54" s="151"/>
      <c r="O54" s="1"/>
    </row>
    <row r="55" spans="1:15" ht="18.75" thickBot="1">
      <c r="A55" s="149" t="s">
        <v>118</v>
      </c>
      <c r="B55" s="151"/>
      <c r="C55" s="151"/>
      <c r="D55" s="167"/>
      <c r="E55" s="167"/>
      <c r="H55" s="20"/>
      <c r="I55" s="20"/>
      <c r="N55" s="151"/>
      <c r="O55" s="1"/>
    </row>
    <row r="56" spans="1:15" ht="18.75" thickBot="1">
      <c r="A56" s="149"/>
      <c r="B56" s="151"/>
      <c r="C56" s="151"/>
      <c r="D56" s="167"/>
      <c r="E56" s="167"/>
      <c r="F56" s="164">
        <f>F$18</f>
        <v>2017</v>
      </c>
      <c r="G56" s="164">
        <f t="shared" ref="G56:N56" si="17">G$18</f>
        <v>2018</v>
      </c>
      <c r="H56" s="164">
        <f t="shared" si="17"/>
        <v>2019</v>
      </c>
      <c r="I56" s="164">
        <f t="shared" si="17"/>
        <v>2020</v>
      </c>
      <c r="J56" s="164">
        <f t="shared" si="17"/>
        <v>2021</v>
      </c>
      <c r="K56" s="164">
        <f t="shared" si="17"/>
        <v>2022</v>
      </c>
      <c r="L56" s="164">
        <f t="shared" si="17"/>
        <v>2023</v>
      </c>
      <c r="M56" s="164">
        <f t="shared" si="17"/>
        <v>2024</v>
      </c>
      <c r="N56" s="174">
        <f t="shared" si="17"/>
        <v>2025</v>
      </c>
      <c r="O56" s="1"/>
    </row>
    <row r="57" spans="1:15" ht="13.5" thickBot="1">
      <c r="A57" s="519" t="s">
        <v>119</v>
      </c>
      <c r="B57" s="520"/>
      <c r="C57" s="521"/>
      <c r="F57" s="481">
        <v>0</v>
      </c>
      <c r="G57" s="481">
        <v>0</v>
      </c>
      <c r="H57" s="481">
        <v>0</v>
      </c>
      <c r="I57" s="481">
        <v>2100</v>
      </c>
      <c r="J57" s="240">
        <v>2100</v>
      </c>
      <c r="K57" s="240">
        <v>2100</v>
      </c>
      <c r="L57" s="240">
        <v>2100</v>
      </c>
      <c r="M57" s="240">
        <v>2100</v>
      </c>
      <c r="N57" s="240">
        <v>2100</v>
      </c>
      <c r="O57" s="1"/>
    </row>
    <row r="58" spans="1:15" ht="18.75" thickBot="1">
      <c r="F58" s="150"/>
      <c r="H58" s="20"/>
      <c r="I58" s="20"/>
      <c r="N58" s="20"/>
      <c r="O58" s="1"/>
    </row>
    <row r="59" spans="1:15" ht="18.75" thickBot="1">
      <c r="A59" s="530" t="s">
        <v>120</v>
      </c>
      <c r="B59" s="531"/>
      <c r="C59" s="531"/>
      <c r="D59" s="531"/>
      <c r="E59" s="531"/>
      <c r="F59" s="532"/>
      <c r="H59" s="20"/>
      <c r="I59" s="20"/>
      <c r="N59" s="20"/>
      <c r="O59" s="1"/>
    </row>
    <row r="60" spans="1:15" ht="13.5" thickBot="1">
      <c r="A60" s="519" t="s">
        <v>121</v>
      </c>
      <c r="B60" s="520"/>
      <c r="C60" s="521"/>
      <c r="D60" s="186"/>
      <c r="E60" s="186"/>
      <c r="F60" s="481">
        <v>0</v>
      </c>
      <c r="G60" s="481">
        <v>0</v>
      </c>
      <c r="H60" s="481">
        <v>1000</v>
      </c>
      <c r="I60" s="481">
        <v>1000</v>
      </c>
      <c r="J60" s="240">
        <v>1000</v>
      </c>
      <c r="K60" s="240">
        <v>1000</v>
      </c>
      <c r="L60" s="240">
        <v>1000</v>
      </c>
      <c r="M60" s="240">
        <v>1000</v>
      </c>
      <c r="N60" s="240">
        <v>1000</v>
      </c>
      <c r="O60" s="1"/>
    </row>
    <row r="61" spans="1:15" ht="51.75" thickBot="1">
      <c r="A61" s="154" t="s">
        <v>125</v>
      </c>
      <c r="B61" s="528" t="s">
        <v>126</v>
      </c>
      <c r="C61" s="529"/>
      <c r="D61" s="186"/>
      <c r="E61" s="186"/>
      <c r="F61" s="152" t="s">
        <v>116</v>
      </c>
      <c r="G61" s="152" t="s">
        <v>116</v>
      </c>
      <c r="H61" s="152" t="s">
        <v>116</v>
      </c>
      <c r="I61" s="152" t="s">
        <v>116</v>
      </c>
      <c r="J61" s="152" t="s">
        <v>116</v>
      </c>
      <c r="K61" s="152" t="s">
        <v>116</v>
      </c>
      <c r="L61" s="152" t="s">
        <v>116</v>
      </c>
      <c r="M61" s="152" t="s">
        <v>116</v>
      </c>
      <c r="N61" s="152" t="s">
        <v>116</v>
      </c>
      <c r="O61" s="1"/>
    </row>
    <row r="62" spans="1:15" ht="25.5">
      <c r="A62" s="513">
        <v>700</v>
      </c>
      <c r="B62" s="157" t="s">
        <v>123</v>
      </c>
      <c r="C62" s="241">
        <v>19300</v>
      </c>
      <c r="D62" s="197"/>
      <c r="E62" s="187">
        <v>1</v>
      </c>
      <c r="F62" s="482">
        <v>0</v>
      </c>
      <c r="G62" s="482">
        <v>0</v>
      </c>
      <c r="H62" s="482">
        <v>0</v>
      </c>
      <c r="I62" s="482">
        <v>700</v>
      </c>
      <c r="J62" s="243">
        <v>700</v>
      </c>
      <c r="K62" s="243">
        <v>700</v>
      </c>
      <c r="L62" s="243">
        <v>700</v>
      </c>
      <c r="M62" s="243">
        <v>700</v>
      </c>
      <c r="N62" s="243">
        <v>700</v>
      </c>
      <c r="O62" s="1"/>
    </row>
    <row r="63" spans="1:15" ht="15" customHeight="1" thickBot="1">
      <c r="A63" s="510"/>
      <c r="B63" s="155" t="s">
        <v>124</v>
      </c>
      <c r="C63" s="156">
        <f>C62</f>
        <v>19300</v>
      </c>
      <c r="D63" s="198"/>
      <c r="E63" s="188">
        <v>2</v>
      </c>
      <c r="F63" s="483">
        <v>0</v>
      </c>
      <c r="G63" s="483">
        <v>0</v>
      </c>
      <c r="H63" s="483">
        <v>0</v>
      </c>
      <c r="I63" s="483">
        <v>400</v>
      </c>
      <c r="J63" s="244">
        <v>400</v>
      </c>
      <c r="K63" s="244">
        <v>400</v>
      </c>
      <c r="L63" s="244">
        <v>400</v>
      </c>
      <c r="M63" s="244">
        <v>400</v>
      </c>
      <c r="N63" s="244">
        <v>400</v>
      </c>
      <c r="O63" s="1"/>
    </row>
    <row r="64" spans="1:15" ht="25.5">
      <c r="A64" s="509">
        <v>900</v>
      </c>
      <c r="B64" s="157" t="s">
        <v>123</v>
      </c>
      <c r="C64" s="241">
        <v>19600</v>
      </c>
      <c r="D64" s="199"/>
      <c r="E64" s="189">
        <v>3</v>
      </c>
      <c r="F64" s="484">
        <v>0</v>
      </c>
      <c r="G64" s="484">
        <v>0</v>
      </c>
      <c r="H64" s="484">
        <v>0</v>
      </c>
      <c r="I64" s="484">
        <v>300</v>
      </c>
      <c r="J64" s="245">
        <v>300</v>
      </c>
      <c r="K64" s="245">
        <v>300</v>
      </c>
      <c r="L64" s="245">
        <v>300</v>
      </c>
      <c r="M64" s="245">
        <v>300</v>
      </c>
      <c r="N64" s="245">
        <v>300</v>
      </c>
      <c r="O64" s="1"/>
    </row>
    <row r="65" spans="1:15" ht="13.5" thickBot="1">
      <c r="A65" s="510"/>
      <c r="B65" s="155" t="s">
        <v>124</v>
      </c>
      <c r="C65" s="156">
        <f>C64</f>
        <v>19600</v>
      </c>
      <c r="D65" s="198"/>
      <c r="E65" s="188">
        <v>4</v>
      </c>
      <c r="F65" s="483">
        <v>0</v>
      </c>
      <c r="G65" s="483">
        <v>0</v>
      </c>
      <c r="H65" s="483">
        <v>0</v>
      </c>
      <c r="I65" s="483">
        <v>200</v>
      </c>
      <c r="J65" s="244">
        <v>200</v>
      </c>
      <c r="K65" s="244">
        <v>200</v>
      </c>
      <c r="L65" s="244">
        <v>200</v>
      </c>
      <c r="M65" s="244">
        <v>200</v>
      </c>
      <c r="N65" s="244">
        <v>200</v>
      </c>
      <c r="O65" s="1"/>
    </row>
    <row r="66" spans="1:15" ht="25.5">
      <c r="A66" s="509">
        <v>1200</v>
      </c>
      <c r="B66" s="157" t="s">
        <v>123</v>
      </c>
      <c r="C66" s="241">
        <v>20300</v>
      </c>
      <c r="D66" s="199"/>
      <c r="E66" s="189">
        <v>5</v>
      </c>
      <c r="F66" s="484">
        <v>0</v>
      </c>
      <c r="G66" s="484">
        <v>0</v>
      </c>
      <c r="H66" s="484">
        <v>0</v>
      </c>
      <c r="I66" s="484">
        <v>150</v>
      </c>
      <c r="J66" s="245">
        <v>150</v>
      </c>
      <c r="K66" s="245">
        <v>150</v>
      </c>
      <c r="L66" s="245">
        <v>150</v>
      </c>
      <c r="M66" s="245">
        <v>150</v>
      </c>
      <c r="N66" s="245">
        <v>150</v>
      </c>
      <c r="O66" s="1"/>
    </row>
    <row r="67" spans="1:15" ht="13.5" thickBot="1">
      <c r="A67" s="510"/>
      <c r="B67" s="155" t="s">
        <v>124</v>
      </c>
      <c r="C67" s="156">
        <f>C66</f>
        <v>20300</v>
      </c>
      <c r="D67" s="198"/>
      <c r="E67" s="188">
        <v>6</v>
      </c>
      <c r="F67" s="483">
        <v>0</v>
      </c>
      <c r="G67" s="483">
        <v>0</v>
      </c>
      <c r="H67" s="483">
        <v>0</v>
      </c>
      <c r="I67" s="483">
        <v>100</v>
      </c>
      <c r="J67" s="244">
        <v>100</v>
      </c>
      <c r="K67" s="244">
        <v>100</v>
      </c>
      <c r="L67" s="244">
        <v>100</v>
      </c>
      <c r="M67" s="244">
        <v>100</v>
      </c>
      <c r="N67" s="244">
        <v>100</v>
      </c>
      <c r="O67" s="153"/>
    </row>
    <row r="68" spans="1:15" ht="25.5">
      <c r="A68" s="511">
        <v>10000</v>
      </c>
      <c r="B68" s="158" t="s">
        <v>123</v>
      </c>
      <c r="C68" s="242">
        <v>21300</v>
      </c>
      <c r="D68" s="199"/>
      <c r="E68" s="189">
        <v>7</v>
      </c>
      <c r="F68" s="484">
        <v>0</v>
      </c>
      <c r="G68" s="484">
        <v>0</v>
      </c>
      <c r="H68" s="484">
        <v>0</v>
      </c>
      <c r="I68" s="484">
        <v>50</v>
      </c>
      <c r="J68" s="245">
        <v>50</v>
      </c>
      <c r="K68" s="245">
        <v>50</v>
      </c>
      <c r="L68" s="245">
        <v>50</v>
      </c>
      <c r="M68" s="245">
        <v>50</v>
      </c>
      <c r="N68" s="245">
        <v>50</v>
      </c>
      <c r="O68" s="153"/>
    </row>
    <row r="69" spans="1:15" ht="13.5" thickBot="1">
      <c r="A69" s="512"/>
      <c r="B69" s="155" t="s">
        <v>124</v>
      </c>
      <c r="C69" s="156">
        <f>C68</f>
        <v>21300</v>
      </c>
      <c r="D69" s="198"/>
      <c r="E69" s="188">
        <v>8</v>
      </c>
      <c r="F69" s="483">
        <v>0</v>
      </c>
      <c r="G69" s="483">
        <v>0</v>
      </c>
      <c r="H69" s="483">
        <v>0</v>
      </c>
      <c r="I69" s="483">
        <v>0</v>
      </c>
      <c r="J69" s="244">
        <v>0</v>
      </c>
      <c r="K69" s="244">
        <v>0</v>
      </c>
      <c r="L69" s="244">
        <v>0</v>
      </c>
      <c r="M69" s="244">
        <v>0</v>
      </c>
      <c r="N69" s="244">
        <v>0</v>
      </c>
      <c r="O69" s="153"/>
    </row>
    <row r="70" spans="1:15" ht="18.75" thickBot="1">
      <c r="A70" s="153"/>
      <c r="B70" s="153"/>
      <c r="C70" s="153"/>
      <c r="D70" s="189"/>
      <c r="E70" s="189"/>
      <c r="F70" s="153"/>
      <c r="G70" s="153"/>
      <c r="H70" s="153"/>
      <c r="I70" s="20"/>
      <c r="J70" s="153"/>
      <c r="K70" s="153"/>
      <c r="L70" s="153"/>
      <c r="M70" s="153"/>
      <c r="N70" s="153"/>
      <c r="O70" s="153"/>
    </row>
    <row r="71" spans="1:15" ht="18">
      <c r="A71" s="376"/>
      <c r="B71" s="377"/>
      <c r="C71" s="377"/>
      <c r="D71" s="378"/>
      <c r="E71" s="378"/>
      <c r="F71" s="377"/>
      <c r="G71" s="377"/>
      <c r="H71" s="377"/>
      <c r="I71" s="379"/>
      <c r="J71" s="377"/>
      <c r="K71" s="377"/>
      <c r="L71" s="377"/>
      <c r="M71" s="377"/>
      <c r="N71" s="380"/>
      <c r="O71" s="153"/>
    </row>
    <row r="72" spans="1:15" ht="18">
      <c r="A72" s="381"/>
      <c r="B72" s="372"/>
      <c r="C72" s="372"/>
      <c r="D72" s="373"/>
      <c r="E72" s="373"/>
      <c r="F72" s="372"/>
      <c r="G72" s="372"/>
      <c r="H72" s="372"/>
      <c r="I72" s="374"/>
      <c r="J72" s="372"/>
      <c r="K72" s="372"/>
      <c r="L72" s="372"/>
      <c r="M72" s="372"/>
      <c r="N72" s="382"/>
      <c r="O72" s="153"/>
    </row>
    <row r="73" spans="1:15" ht="18">
      <c r="A73" s="381"/>
      <c r="B73" s="372"/>
      <c r="C73" s="372"/>
      <c r="D73" s="373"/>
      <c r="E73" s="373"/>
      <c r="F73" s="372"/>
      <c r="G73" s="372"/>
      <c r="H73" s="372"/>
      <c r="I73" s="374"/>
      <c r="J73" s="372"/>
      <c r="K73" s="372"/>
      <c r="L73" s="372"/>
      <c r="M73" s="372"/>
      <c r="N73" s="382"/>
      <c r="O73" s="153"/>
    </row>
    <row r="74" spans="1:15" ht="18">
      <c r="A74" s="381"/>
      <c r="B74" s="372"/>
      <c r="C74" s="372"/>
      <c r="D74" s="373"/>
      <c r="E74" s="373"/>
      <c r="F74" s="372"/>
      <c r="G74" s="372"/>
      <c r="H74" s="372"/>
      <c r="I74" s="374"/>
      <c r="J74" s="374"/>
      <c r="K74" s="374"/>
      <c r="L74" s="374"/>
      <c r="M74" s="374"/>
      <c r="N74" s="383"/>
      <c r="O74" s="1"/>
    </row>
    <row r="75" spans="1:15" ht="18">
      <c r="A75" s="381"/>
      <c r="B75" s="372"/>
      <c r="C75" s="372"/>
      <c r="D75" s="373"/>
      <c r="E75" s="373"/>
      <c r="F75" s="372"/>
      <c r="G75" s="372"/>
      <c r="H75" s="372"/>
      <c r="I75" s="374"/>
      <c r="J75" s="374"/>
      <c r="K75" s="374"/>
      <c r="L75" s="374"/>
      <c r="M75" s="374"/>
      <c r="N75" s="383"/>
      <c r="O75" s="1"/>
    </row>
    <row r="76" spans="1:15" ht="18">
      <c r="A76" s="381"/>
      <c r="B76" s="372"/>
      <c r="C76" s="372"/>
      <c r="D76" s="373"/>
      <c r="E76" s="373"/>
      <c r="F76" s="372"/>
      <c r="G76" s="372"/>
      <c r="H76" s="372"/>
      <c r="I76" s="374"/>
      <c r="J76" s="374"/>
      <c r="K76" s="374"/>
      <c r="L76" s="374"/>
      <c r="M76" s="374"/>
      <c r="N76" s="383"/>
      <c r="O76" s="1"/>
    </row>
    <row r="77" spans="1:15" ht="18">
      <c r="A77" s="381"/>
      <c r="B77" s="372"/>
      <c r="C77" s="372"/>
      <c r="D77" s="373"/>
      <c r="E77" s="373"/>
      <c r="F77" s="372"/>
      <c r="G77" s="372"/>
      <c r="H77" s="372"/>
      <c r="I77" s="374"/>
      <c r="J77" s="374"/>
      <c r="K77" s="374"/>
      <c r="L77" s="374"/>
      <c r="M77" s="374"/>
      <c r="N77" s="383"/>
      <c r="O77" s="1"/>
    </row>
    <row r="78" spans="1:15" ht="18">
      <c r="A78" s="381"/>
      <c r="B78" s="372"/>
      <c r="C78" s="372"/>
      <c r="D78" s="373"/>
      <c r="E78" s="373"/>
      <c r="F78" s="372"/>
      <c r="G78" s="372"/>
      <c r="H78" s="372"/>
      <c r="I78" s="374"/>
      <c r="J78" s="374"/>
      <c r="K78" s="374"/>
      <c r="L78" s="374"/>
      <c r="M78" s="374"/>
      <c r="N78" s="383"/>
      <c r="O78" s="1"/>
    </row>
    <row r="79" spans="1:15" ht="18">
      <c r="A79" s="381"/>
      <c r="B79" s="372"/>
      <c r="C79" s="372"/>
      <c r="D79" s="373"/>
      <c r="E79" s="373"/>
      <c r="F79" s="372"/>
      <c r="G79" s="372"/>
      <c r="H79" s="372"/>
      <c r="I79" s="374"/>
      <c r="J79" s="374"/>
      <c r="K79" s="374"/>
      <c r="L79" s="374"/>
      <c r="M79" s="374"/>
      <c r="N79" s="383"/>
      <c r="O79" s="1"/>
    </row>
    <row r="80" spans="1:15" ht="18">
      <c r="A80" s="381"/>
      <c r="B80" s="372"/>
      <c r="C80" s="372"/>
      <c r="D80" s="373"/>
      <c r="E80" s="373"/>
      <c r="F80" s="372"/>
      <c r="G80" s="372"/>
      <c r="H80" s="372"/>
      <c r="I80" s="374"/>
      <c r="J80" s="374"/>
      <c r="K80" s="374"/>
      <c r="L80" s="374"/>
      <c r="M80" s="374"/>
      <c r="N80" s="383"/>
      <c r="O80" s="1"/>
    </row>
    <row r="81" spans="1:15" ht="18">
      <c r="A81" s="381"/>
      <c r="B81" s="372"/>
      <c r="C81" s="372"/>
      <c r="D81" s="373"/>
      <c r="E81" s="373"/>
      <c r="F81" s="372"/>
      <c r="G81" s="372"/>
      <c r="H81" s="372"/>
      <c r="I81" s="374"/>
      <c r="J81" s="374"/>
      <c r="K81" s="374"/>
      <c r="L81" s="374"/>
      <c r="M81" s="374"/>
      <c r="N81" s="383"/>
      <c r="O81" s="1"/>
    </row>
    <row r="82" spans="1:15" ht="18">
      <c r="A82" s="381"/>
      <c r="B82" s="372"/>
      <c r="C82" s="372"/>
      <c r="D82" s="373"/>
      <c r="E82" s="373"/>
      <c r="F82" s="372"/>
      <c r="G82" s="372"/>
      <c r="H82" s="372"/>
      <c r="I82" s="374"/>
      <c r="J82" s="374"/>
      <c r="K82" s="374"/>
      <c r="L82" s="374"/>
      <c r="M82" s="374"/>
      <c r="N82" s="383"/>
      <c r="O82" s="1"/>
    </row>
    <row r="83" spans="1:15" ht="18">
      <c r="A83" s="381"/>
      <c r="B83" s="372"/>
      <c r="C83" s="372"/>
      <c r="D83" s="373"/>
      <c r="E83" s="373"/>
      <c r="F83" s="372"/>
      <c r="G83" s="372"/>
      <c r="H83" s="372"/>
      <c r="I83" s="374"/>
      <c r="J83" s="374"/>
      <c r="K83" s="374"/>
      <c r="L83" s="374"/>
      <c r="M83" s="374"/>
      <c r="N83" s="383"/>
      <c r="O83" s="1"/>
    </row>
    <row r="84" spans="1:15" ht="18">
      <c r="A84" s="381"/>
      <c r="B84" s="372"/>
      <c r="C84" s="372"/>
      <c r="D84" s="373"/>
      <c r="E84" s="373"/>
      <c r="F84" s="372"/>
      <c r="G84" s="372"/>
      <c r="H84" s="372"/>
      <c r="I84" s="374"/>
      <c r="J84" s="374"/>
      <c r="K84" s="374"/>
      <c r="L84" s="374"/>
      <c r="M84" s="374"/>
      <c r="N84" s="383"/>
      <c r="O84" s="1"/>
    </row>
    <row r="85" spans="1:15" ht="18">
      <c r="A85" s="384"/>
      <c r="B85" s="374"/>
      <c r="C85" s="374"/>
      <c r="D85" s="375"/>
      <c r="E85" s="375"/>
      <c r="F85" s="374"/>
      <c r="G85" s="374"/>
      <c r="H85" s="374"/>
      <c r="I85" s="374"/>
      <c r="J85" s="374"/>
      <c r="K85" s="374"/>
      <c r="L85" s="374"/>
      <c r="M85" s="374"/>
      <c r="N85" s="383"/>
      <c r="O85" s="1"/>
    </row>
    <row r="86" spans="1:15" ht="18">
      <c r="A86" s="384"/>
      <c r="B86" s="374"/>
      <c r="C86" s="374"/>
      <c r="D86" s="375"/>
      <c r="E86" s="375"/>
      <c r="F86" s="374"/>
      <c r="G86" s="374"/>
      <c r="H86" s="374"/>
      <c r="I86" s="374"/>
      <c r="J86" s="374"/>
      <c r="K86" s="374"/>
      <c r="L86" s="374"/>
      <c r="M86" s="374"/>
      <c r="N86" s="383"/>
      <c r="O86" s="1"/>
    </row>
    <row r="87" spans="1:15" ht="18">
      <c r="A87" s="384"/>
      <c r="B87" s="374"/>
      <c r="C87" s="374"/>
      <c r="D87" s="375"/>
      <c r="E87" s="375"/>
      <c r="F87" s="374"/>
      <c r="G87" s="374"/>
      <c r="H87" s="374"/>
      <c r="I87" s="374"/>
      <c r="J87" s="374"/>
      <c r="K87" s="374"/>
      <c r="L87" s="374"/>
      <c r="M87" s="374"/>
      <c r="N87" s="383"/>
      <c r="O87" s="1"/>
    </row>
    <row r="88" spans="1:15" ht="18">
      <c r="A88" s="384"/>
      <c r="B88" s="374"/>
      <c r="C88" s="374"/>
      <c r="D88" s="375"/>
      <c r="E88" s="375"/>
      <c r="F88" s="374"/>
      <c r="G88" s="374"/>
      <c r="H88" s="374"/>
      <c r="I88" s="374"/>
      <c r="J88" s="374"/>
      <c r="K88" s="374"/>
      <c r="L88" s="374"/>
      <c r="M88" s="374"/>
      <c r="N88" s="383"/>
      <c r="O88" s="1"/>
    </row>
    <row r="89" spans="1:15" ht="18">
      <c r="A89" s="384"/>
      <c r="B89" s="374"/>
      <c r="C89" s="374"/>
      <c r="D89" s="375"/>
      <c r="E89" s="375"/>
      <c r="F89" s="374"/>
      <c r="G89" s="374"/>
      <c r="H89" s="374"/>
      <c r="I89" s="374"/>
      <c r="J89" s="374"/>
      <c r="K89" s="374"/>
      <c r="L89" s="374"/>
      <c r="M89" s="374"/>
      <c r="N89" s="383"/>
      <c r="O89" s="1"/>
    </row>
    <row r="90" spans="1:15" ht="18.75" thickBot="1">
      <c r="A90" s="385"/>
      <c r="B90" s="386"/>
      <c r="C90" s="386"/>
      <c r="D90" s="387"/>
      <c r="E90" s="387"/>
      <c r="F90" s="386"/>
      <c r="G90" s="386"/>
      <c r="H90" s="386"/>
      <c r="I90" s="386"/>
      <c r="J90" s="386"/>
      <c r="K90" s="386"/>
      <c r="L90" s="386"/>
      <c r="M90" s="386"/>
      <c r="N90" s="388"/>
      <c r="O90" s="1"/>
    </row>
    <row r="91" spans="1:15" ht="18">
      <c r="A91" s="20"/>
      <c r="B91" s="20"/>
      <c r="C91" s="20"/>
      <c r="D91" s="182"/>
      <c r="E91" s="182"/>
      <c r="F91" s="20"/>
      <c r="G91" s="20"/>
      <c r="H91" s="20"/>
      <c r="I91" s="20"/>
      <c r="J91" s="20"/>
      <c r="K91" s="20"/>
      <c r="L91" s="20"/>
      <c r="M91" s="20"/>
      <c r="N91" s="20"/>
      <c r="O91" s="1"/>
    </row>
    <row r="92" spans="1:15" ht="18">
      <c r="A92" s="20"/>
      <c r="B92" s="20"/>
      <c r="C92" s="20"/>
      <c r="D92" s="182"/>
      <c r="E92" s="182"/>
      <c r="F92" s="20"/>
      <c r="G92" s="20"/>
      <c r="H92" s="20"/>
      <c r="I92" s="20"/>
      <c r="J92" s="20"/>
      <c r="K92" s="20"/>
      <c r="L92" s="20"/>
      <c r="M92" s="20"/>
      <c r="N92" s="20"/>
      <c r="O92" s="1"/>
    </row>
    <row r="93" spans="1:15" ht="18">
      <c r="A93" s="20"/>
      <c r="B93" s="20"/>
      <c r="C93" s="20"/>
      <c r="D93" s="182"/>
      <c r="E93" s="182"/>
      <c r="F93" s="20"/>
      <c r="G93" s="20"/>
      <c r="H93" s="20"/>
      <c r="I93" s="20"/>
      <c r="J93" s="20"/>
      <c r="K93" s="20"/>
      <c r="L93" s="20"/>
      <c r="M93" s="20"/>
      <c r="N93" s="20"/>
      <c r="O93" s="1"/>
    </row>
    <row r="94" spans="1:15" ht="18">
      <c r="A94" s="20"/>
      <c r="B94" s="20"/>
      <c r="C94" s="20"/>
      <c r="D94" s="182"/>
      <c r="E94" s="182"/>
      <c r="F94" s="20"/>
      <c r="G94" s="20"/>
      <c r="H94" s="20"/>
      <c r="I94" s="20"/>
      <c r="J94" s="20"/>
      <c r="K94" s="20"/>
      <c r="L94" s="20"/>
      <c r="M94" s="20"/>
      <c r="N94" s="20"/>
      <c r="O94" s="1"/>
    </row>
    <row r="95" spans="1:15" ht="18">
      <c r="A95" s="20"/>
      <c r="B95" s="20"/>
      <c r="C95" s="20"/>
      <c r="D95" s="182"/>
      <c r="E95" s="182"/>
      <c r="F95" s="20"/>
      <c r="G95" s="20"/>
      <c r="H95" s="20"/>
      <c r="I95" s="20"/>
      <c r="J95" s="20"/>
      <c r="K95" s="20"/>
      <c r="L95" s="20"/>
      <c r="M95" s="20"/>
      <c r="N95" s="20"/>
      <c r="O95" s="1"/>
    </row>
    <row r="96" spans="1:15" ht="18">
      <c r="A96" s="20"/>
      <c r="B96" s="20"/>
      <c r="C96" s="20"/>
      <c r="D96" s="182"/>
      <c r="E96" s="182"/>
      <c r="F96" s="20"/>
      <c r="G96" s="20"/>
      <c r="H96" s="20"/>
      <c r="I96" s="20"/>
      <c r="J96" s="20"/>
      <c r="K96" s="20"/>
      <c r="L96" s="20"/>
      <c r="M96" s="20"/>
      <c r="N96" s="20"/>
      <c r="O96" s="1"/>
    </row>
    <row r="97" spans="1:15" ht="18">
      <c r="A97" s="20"/>
      <c r="B97" s="20"/>
      <c r="C97" s="20"/>
      <c r="D97" s="182"/>
      <c r="E97" s="182"/>
      <c r="F97" s="20"/>
      <c r="G97" s="20"/>
      <c r="H97" s="20"/>
      <c r="I97" s="20"/>
      <c r="J97" s="20"/>
      <c r="K97" s="20"/>
      <c r="L97" s="20"/>
      <c r="M97" s="20"/>
      <c r="N97" s="20"/>
      <c r="O97" s="1"/>
    </row>
    <row r="98" spans="1:15" ht="18">
      <c r="A98" s="20"/>
      <c r="B98" s="20"/>
      <c r="C98" s="20"/>
      <c r="D98" s="182"/>
      <c r="E98" s="182"/>
      <c r="F98" s="20"/>
      <c r="G98" s="20"/>
      <c r="H98" s="20"/>
      <c r="I98" s="20"/>
      <c r="J98" s="20"/>
      <c r="K98" s="20"/>
      <c r="L98" s="20"/>
      <c r="M98" s="20"/>
      <c r="N98" s="20"/>
      <c r="O98" s="1"/>
    </row>
    <row r="99" spans="1:15" ht="18">
      <c r="A99" s="20"/>
      <c r="B99" s="20"/>
      <c r="C99" s="20"/>
      <c r="D99" s="182"/>
      <c r="E99" s="182"/>
      <c r="F99" s="20"/>
      <c r="G99" s="20"/>
      <c r="H99" s="20"/>
      <c r="I99" s="20"/>
      <c r="J99" s="20"/>
      <c r="K99" s="20"/>
      <c r="L99" s="20"/>
      <c r="M99" s="20"/>
      <c r="N99" s="20"/>
      <c r="O99" s="1"/>
    </row>
    <row r="100" spans="1:15" ht="18">
      <c r="A100" s="20"/>
      <c r="B100" s="20"/>
      <c r="C100" s="20"/>
      <c r="D100" s="182"/>
      <c r="E100" s="182"/>
      <c r="F100" s="20"/>
      <c r="G100" s="20"/>
      <c r="H100" s="20"/>
      <c r="I100" s="20"/>
      <c r="J100" s="20"/>
      <c r="K100" s="20"/>
      <c r="L100" s="20"/>
      <c r="M100" s="20"/>
      <c r="N100" s="20"/>
      <c r="O100" s="1"/>
    </row>
    <row r="101" spans="1:15" ht="18">
      <c r="A101" s="20"/>
      <c r="B101" s="20"/>
      <c r="C101" s="20"/>
      <c r="D101" s="182"/>
      <c r="E101" s="182"/>
      <c r="F101" s="20"/>
      <c r="G101" s="20"/>
      <c r="H101" s="20"/>
      <c r="I101" s="20"/>
      <c r="J101" s="20"/>
      <c r="K101" s="20"/>
      <c r="L101" s="20"/>
      <c r="M101" s="20"/>
      <c r="N101" s="20"/>
      <c r="O101" s="1"/>
    </row>
    <row r="102" spans="1:15" ht="18">
      <c r="A102" s="20"/>
      <c r="B102" s="20"/>
      <c r="C102" s="20"/>
      <c r="D102" s="182"/>
      <c r="E102" s="182"/>
      <c r="F102" s="20"/>
      <c r="G102" s="20"/>
      <c r="H102" s="20"/>
      <c r="I102" s="20"/>
      <c r="J102" s="20"/>
      <c r="K102" s="20"/>
      <c r="L102" s="20"/>
      <c r="M102" s="20"/>
      <c r="N102" s="20"/>
      <c r="O102" s="1"/>
    </row>
    <row r="103" spans="1:15" ht="18">
      <c r="A103" s="20"/>
      <c r="B103" s="20"/>
      <c r="C103" s="20"/>
      <c r="D103" s="182"/>
      <c r="E103" s="182"/>
      <c r="F103" s="20"/>
      <c r="G103" s="20"/>
      <c r="H103" s="20"/>
      <c r="I103" s="20"/>
      <c r="J103" s="20"/>
      <c r="K103" s="20"/>
      <c r="L103" s="20"/>
      <c r="M103" s="20"/>
      <c r="N103" s="20"/>
      <c r="O103" s="1"/>
    </row>
    <row r="104" spans="1:15" ht="18">
      <c r="A104" s="20"/>
      <c r="B104" s="20"/>
      <c r="C104" s="20"/>
      <c r="D104" s="182"/>
      <c r="E104" s="182"/>
      <c r="F104" s="20"/>
      <c r="G104" s="20"/>
      <c r="H104" s="20"/>
      <c r="I104" s="20"/>
      <c r="J104" s="20"/>
      <c r="K104" s="20"/>
      <c r="L104" s="20"/>
      <c r="M104" s="20"/>
      <c r="N104" s="20"/>
      <c r="O104" s="1"/>
    </row>
    <row r="105" spans="1:15" ht="18">
      <c r="A105" s="20"/>
      <c r="B105" s="20"/>
      <c r="C105" s="20"/>
      <c r="D105" s="182"/>
      <c r="E105" s="182"/>
      <c r="F105" s="20"/>
      <c r="G105" s="20"/>
      <c r="H105" s="20"/>
      <c r="I105" s="20"/>
      <c r="J105" s="20"/>
      <c r="K105" s="20"/>
      <c r="L105" s="20"/>
      <c r="M105" s="20"/>
      <c r="N105" s="20"/>
      <c r="O105" s="1"/>
    </row>
    <row r="106" spans="1:15" ht="18">
      <c r="A106" s="20"/>
      <c r="B106" s="20"/>
      <c r="C106" s="20"/>
      <c r="D106" s="182"/>
      <c r="E106" s="182"/>
      <c r="F106" s="20"/>
      <c r="G106" s="20"/>
      <c r="H106" s="20"/>
      <c r="I106" s="20"/>
      <c r="J106" s="20"/>
      <c r="K106" s="20"/>
      <c r="L106" s="20"/>
      <c r="M106" s="20"/>
      <c r="N106" s="20"/>
      <c r="O106" s="1"/>
    </row>
    <row r="107" spans="1:15" ht="18">
      <c r="A107" s="20"/>
      <c r="B107" s="20"/>
      <c r="C107" s="20"/>
      <c r="D107" s="182"/>
      <c r="E107" s="182"/>
      <c r="F107" s="20"/>
      <c r="G107" s="20"/>
      <c r="H107" s="20"/>
      <c r="I107" s="20"/>
      <c r="J107" s="20"/>
      <c r="K107" s="20"/>
      <c r="L107" s="20"/>
      <c r="M107" s="20"/>
      <c r="N107" s="20"/>
      <c r="O107" s="1"/>
    </row>
    <row r="108" spans="1:15" ht="18">
      <c r="A108" s="20"/>
      <c r="B108" s="20"/>
      <c r="C108" s="20"/>
      <c r="D108" s="182"/>
      <c r="E108" s="182"/>
      <c r="F108" s="20"/>
      <c r="G108" s="20"/>
      <c r="H108" s="20"/>
      <c r="I108" s="20"/>
      <c r="J108" s="20"/>
      <c r="K108" s="20"/>
      <c r="L108" s="20"/>
      <c r="M108" s="20"/>
      <c r="N108" s="20"/>
      <c r="O108" s="1"/>
    </row>
    <row r="109" spans="1:15" ht="18">
      <c r="A109" s="20"/>
      <c r="B109" s="20"/>
      <c r="C109" s="20"/>
      <c r="D109" s="182"/>
      <c r="E109" s="182"/>
      <c r="F109" s="20"/>
      <c r="G109" s="20"/>
      <c r="H109" s="20"/>
      <c r="I109" s="20"/>
      <c r="J109" s="20"/>
      <c r="K109" s="20"/>
      <c r="L109" s="20"/>
      <c r="M109" s="20"/>
      <c r="N109" s="20"/>
      <c r="O109" s="1"/>
    </row>
    <row r="110" spans="1:15" ht="18">
      <c r="A110" s="20"/>
      <c r="B110" s="20"/>
      <c r="C110" s="20"/>
      <c r="D110" s="182"/>
      <c r="E110" s="182"/>
      <c r="F110" s="20"/>
      <c r="G110" s="20"/>
      <c r="H110" s="20"/>
      <c r="I110" s="20"/>
      <c r="J110" s="20"/>
      <c r="K110" s="20"/>
      <c r="L110" s="20"/>
      <c r="M110" s="20"/>
      <c r="N110" s="20"/>
      <c r="O110" s="1"/>
    </row>
    <row r="111" spans="1:15" ht="18">
      <c r="A111" s="20"/>
      <c r="B111" s="20"/>
      <c r="C111" s="20"/>
      <c r="D111" s="182"/>
      <c r="E111" s="182"/>
      <c r="F111" s="20"/>
      <c r="G111" s="20"/>
      <c r="H111" s="20"/>
      <c r="I111" s="20"/>
      <c r="J111" s="20"/>
      <c r="K111" s="20"/>
      <c r="L111" s="20"/>
      <c r="M111" s="20"/>
      <c r="N111" s="20"/>
      <c r="O111" s="1"/>
    </row>
    <row r="112" spans="1:15" ht="18">
      <c r="A112" s="20"/>
      <c r="B112" s="20"/>
      <c r="C112" s="20"/>
      <c r="D112" s="182"/>
      <c r="E112" s="182"/>
      <c r="F112" s="20"/>
      <c r="G112" s="20"/>
      <c r="H112" s="20"/>
      <c r="I112" s="20"/>
      <c r="J112" s="20"/>
      <c r="K112" s="20"/>
      <c r="L112" s="20"/>
      <c r="M112" s="20"/>
      <c r="N112" s="20"/>
      <c r="O112" s="1"/>
    </row>
    <row r="113" spans="1:15" ht="18">
      <c r="A113" s="20"/>
      <c r="B113" s="20"/>
      <c r="C113" s="20"/>
      <c r="D113" s="182"/>
      <c r="E113" s="182"/>
      <c r="F113" s="20"/>
      <c r="G113" s="20"/>
      <c r="H113" s="20"/>
      <c r="I113" s="20"/>
      <c r="J113" s="20"/>
      <c r="K113" s="20"/>
      <c r="L113" s="20"/>
      <c r="M113" s="20"/>
      <c r="N113" s="20"/>
      <c r="O113" s="1"/>
    </row>
    <row r="114" spans="1:15" ht="18">
      <c r="A114" s="20"/>
      <c r="B114" s="20"/>
      <c r="C114" s="20"/>
      <c r="D114" s="182"/>
      <c r="E114" s="182"/>
      <c r="F114" s="20"/>
      <c r="G114" s="20"/>
      <c r="H114" s="20"/>
      <c r="I114" s="20"/>
      <c r="J114" s="20"/>
      <c r="K114" s="20"/>
      <c r="L114" s="20"/>
      <c r="M114" s="20"/>
      <c r="N114" s="20"/>
      <c r="O114" s="1"/>
    </row>
    <row r="115" spans="1:15" ht="18">
      <c r="A115" s="20"/>
      <c r="B115" s="20"/>
      <c r="C115" s="20"/>
      <c r="D115" s="182"/>
      <c r="E115" s="182"/>
      <c r="F115" s="20"/>
      <c r="G115" s="20"/>
      <c r="H115" s="20"/>
      <c r="I115" s="20"/>
      <c r="J115" s="20"/>
      <c r="K115" s="20"/>
      <c r="L115" s="20"/>
      <c r="M115" s="20"/>
      <c r="N115" s="20"/>
      <c r="O115" s="1"/>
    </row>
    <row r="116" spans="1:15" ht="18">
      <c r="A116" s="20"/>
      <c r="B116" s="20"/>
      <c r="C116" s="20"/>
      <c r="D116" s="182"/>
      <c r="E116" s="182"/>
      <c r="F116" s="20"/>
      <c r="G116" s="20"/>
      <c r="H116" s="20"/>
      <c r="I116" s="20"/>
      <c r="J116" s="20"/>
      <c r="K116" s="20"/>
      <c r="L116" s="20"/>
      <c r="M116" s="20"/>
      <c r="N116" s="20"/>
      <c r="O116" s="1"/>
    </row>
    <row r="117" spans="1:15" ht="18">
      <c r="A117" s="20"/>
      <c r="B117" s="20"/>
      <c r="C117" s="20"/>
      <c r="D117" s="182"/>
      <c r="E117" s="182"/>
      <c r="F117" s="20"/>
      <c r="G117" s="20"/>
      <c r="H117" s="20"/>
      <c r="I117" s="20"/>
      <c r="J117" s="20"/>
      <c r="K117" s="20"/>
      <c r="L117" s="20"/>
      <c r="M117" s="20"/>
      <c r="N117" s="20"/>
      <c r="O117" s="1"/>
    </row>
    <row r="118" spans="1:15" ht="18">
      <c r="A118" s="20"/>
      <c r="B118" s="20"/>
      <c r="C118" s="20"/>
      <c r="D118" s="182"/>
      <c r="E118" s="182"/>
      <c r="F118" s="20"/>
      <c r="G118" s="20"/>
      <c r="H118" s="20"/>
      <c r="I118" s="20"/>
      <c r="J118" s="20"/>
      <c r="K118" s="20"/>
      <c r="L118" s="20"/>
      <c r="M118" s="20"/>
      <c r="N118" s="20"/>
      <c r="O118" s="1"/>
    </row>
    <row r="119" spans="1:15" ht="18">
      <c r="A119" s="20"/>
      <c r="B119" s="20"/>
      <c r="C119" s="20"/>
      <c r="D119" s="182"/>
      <c r="E119" s="182"/>
      <c r="F119" s="20"/>
      <c r="G119" s="20"/>
      <c r="H119" s="20"/>
      <c r="I119" s="20"/>
      <c r="J119" s="20"/>
      <c r="K119" s="20"/>
      <c r="L119" s="20"/>
      <c r="M119" s="20"/>
      <c r="N119" s="20"/>
      <c r="O119" s="1"/>
    </row>
    <row r="120" spans="1:15" ht="18">
      <c r="A120" s="20"/>
      <c r="B120" s="20"/>
      <c r="C120" s="20"/>
      <c r="D120" s="182"/>
      <c r="E120" s="182"/>
      <c r="F120" s="20"/>
      <c r="G120" s="20"/>
      <c r="H120" s="20"/>
      <c r="I120" s="20"/>
      <c r="J120" s="20"/>
      <c r="K120" s="20"/>
      <c r="L120" s="20"/>
      <c r="M120" s="20"/>
      <c r="N120" s="20"/>
      <c r="O120" s="1"/>
    </row>
    <row r="121" spans="1:15" ht="18">
      <c r="A121" s="20"/>
      <c r="B121" s="20"/>
      <c r="C121" s="20"/>
      <c r="D121" s="182"/>
      <c r="E121" s="182"/>
      <c r="F121" s="20"/>
      <c r="G121" s="20"/>
      <c r="H121" s="20"/>
      <c r="I121" s="20"/>
      <c r="J121" s="20"/>
      <c r="K121" s="20"/>
      <c r="L121" s="20"/>
      <c r="M121" s="20"/>
      <c r="N121" s="20"/>
      <c r="O121" s="1"/>
    </row>
    <row r="122" spans="1:15" ht="18">
      <c r="A122" s="20"/>
      <c r="B122" s="20"/>
      <c r="C122" s="20"/>
      <c r="D122" s="182"/>
      <c r="E122" s="182"/>
      <c r="F122" s="20"/>
      <c r="G122" s="20"/>
      <c r="H122" s="20"/>
      <c r="I122" s="20"/>
      <c r="J122" s="20"/>
      <c r="K122" s="20"/>
      <c r="L122" s="20"/>
      <c r="M122" s="20"/>
      <c r="N122" s="20"/>
      <c r="O122" s="1"/>
    </row>
    <row r="123" spans="1:15" ht="18">
      <c r="A123" s="20"/>
      <c r="B123" s="20"/>
      <c r="C123" s="20"/>
      <c r="D123" s="182"/>
      <c r="E123" s="182"/>
      <c r="F123" s="20"/>
      <c r="G123" s="20"/>
      <c r="H123" s="20"/>
      <c r="I123" s="20"/>
      <c r="J123" s="20"/>
      <c r="K123" s="20"/>
      <c r="L123" s="20"/>
      <c r="M123" s="20"/>
      <c r="N123" s="20"/>
      <c r="O123" s="1"/>
    </row>
    <row r="124" spans="1:15" ht="18">
      <c r="A124" s="20"/>
      <c r="B124" s="20"/>
      <c r="C124" s="20"/>
      <c r="D124" s="182"/>
      <c r="E124" s="182"/>
      <c r="F124" s="20"/>
      <c r="G124" s="20"/>
      <c r="H124" s="20"/>
      <c r="I124" s="20"/>
      <c r="J124" s="20"/>
      <c r="K124" s="20"/>
      <c r="L124" s="20"/>
      <c r="M124" s="20"/>
      <c r="N124" s="20"/>
      <c r="O124" s="1"/>
    </row>
    <row r="125" spans="1:15" ht="18">
      <c r="A125" s="20"/>
      <c r="B125" s="20"/>
      <c r="C125" s="20"/>
      <c r="D125" s="182"/>
      <c r="E125" s="182"/>
      <c r="F125" s="20"/>
      <c r="G125" s="20"/>
      <c r="H125" s="20"/>
      <c r="I125" s="20"/>
      <c r="J125" s="20"/>
      <c r="K125" s="20"/>
      <c r="L125" s="20"/>
      <c r="M125" s="20"/>
      <c r="N125" s="20"/>
      <c r="O125" s="1"/>
    </row>
    <row r="126" spans="1:15" ht="18">
      <c r="A126" s="20"/>
      <c r="B126" s="20"/>
      <c r="C126" s="20"/>
      <c r="D126" s="182"/>
      <c r="E126" s="182"/>
      <c r="F126" s="20"/>
      <c r="G126" s="20"/>
      <c r="H126" s="20"/>
      <c r="I126" s="20"/>
      <c r="J126" s="20"/>
      <c r="K126" s="20"/>
      <c r="L126" s="20"/>
      <c r="M126" s="20"/>
      <c r="N126" s="20"/>
      <c r="O126" s="1"/>
    </row>
  </sheetData>
  <sheetProtection sheet="1" formatCells="0" formatRows="0"/>
  <mergeCells count="30">
    <mergeCell ref="A27:N27"/>
    <mergeCell ref="A35:C35"/>
    <mergeCell ref="A29:C29"/>
    <mergeCell ref="A30:C30"/>
    <mergeCell ref="A31:C31"/>
    <mergeCell ref="A32:C32"/>
    <mergeCell ref="A33:C33"/>
    <mergeCell ref="A34:C34"/>
    <mergeCell ref="A8:N8"/>
    <mergeCell ref="A18:C18"/>
    <mergeCell ref="A19:A21"/>
    <mergeCell ref="B21:C21"/>
    <mergeCell ref="A22:A24"/>
    <mergeCell ref="B24:C24"/>
    <mergeCell ref="A66:A67"/>
    <mergeCell ref="A68:A69"/>
    <mergeCell ref="A62:A63"/>
    <mergeCell ref="A64:A65"/>
    <mergeCell ref="A40:C40"/>
    <mergeCell ref="A41:B41"/>
    <mergeCell ref="A42:B42"/>
    <mergeCell ref="A60:C60"/>
    <mergeCell ref="A57:C57"/>
    <mergeCell ref="A44:C44"/>
    <mergeCell ref="A43:C43"/>
    <mergeCell ref="B61:C61"/>
    <mergeCell ref="A59:F59"/>
    <mergeCell ref="A49:A50"/>
    <mergeCell ref="B49:B50"/>
    <mergeCell ref="A46:C46"/>
  </mergeCells>
  <phoneticPr fontId="18" type="noConversion"/>
  <pageMargins left="0.75000000000000011" right="0.75000000000000011" top="0.984251969" bottom="0.984251969" header="0.5" footer="0.5"/>
  <pageSetup paperSize="9" scale="84" orientation="landscape"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8"/>
  <sheetViews>
    <sheetView zoomScaleNormal="100" workbookViewId="0">
      <pane xSplit="6" ySplit="5" topLeftCell="Y84" activePane="bottomRight" state="frozen"/>
      <selection activeCell="B2" sqref="B2"/>
      <selection pane="topRight" activeCell="B2" sqref="B2"/>
      <selection pane="bottomLeft" activeCell="B2" sqref="B2"/>
      <selection pane="bottomRight" activeCell="C11" sqref="C11"/>
    </sheetView>
  </sheetViews>
  <sheetFormatPr baseColWidth="10" defaultColWidth="10.875" defaultRowHeight="12.75"/>
  <cols>
    <col min="1" max="1" width="9.625" style="51" customWidth="1"/>
    <col min="2" max="2" width="30.875" style="51" customWidth="1"/>
    <col min="3" max="4" width="10.875" style="51"/>
    <col min="5" max="6" width="17.625" style="51" customWidth="1"/>
    <col min="7" max="8" width="13.625" style="51" customWidth="1"/>
    <col min="9" max="9" width="1.625" style="51" customWidth="1"/>
    <col min="10" max="10" width="10.875" style="51"/>
    <col min="11" max="11" width="10.625" style="51" customWidth="1"/>
    <col min="12" max="14" width="10.875" style="51"/>
    <col min="15" max="15" width="1.625" style="51" customWidth="1"/>
    <col min="16" max="16" width="24.625" style="51" bestFit="1" customWidth="1"/>
    <col min="17" max="16384" width="10.875" style="51"/>
  </cols>
  <sheetData>
    <row r="1" spans="1:27" ht="20.100000000000001" customHeight="1" thickBot="1">
      <c r="B1" s="422" t="s">
        <v>268</v>
      </c>
      <c r="C1" s="651" t="str">
        <f>'0-ACCUEIL &amp; PARAMETRES'!C4</f>
        <v>XXXXXXXX</v>
      </c>
      <c r="D1" s="651"/>
      <c r="E1" s="652"/>
    </row>
    <row r="2" spans="1:27" ht="13.5" thickBot="1"/>
    <row r="3" spans="1:27" ht="20.100000000000001" customHeight="1" thickBot="1">
      <c r="B3" s="423" t="s">
        <v>279</v>
      </c>
      <c r="C3" s="653"/>
      <c r="D3" s="653"/>
      <c r="E3" s="654"/>
    </row>
    <row r="4" spans="1:27" ht="13.5" thickBot="1">
      <c r="AA4" s="51" t="s">
        <v>27</v>
      </c>
    </row>
    <row r="5" spans="1:27" ht="23.25" thickBot="1">
      <c r="A5" s="553" t="s">
        <v>224</v>
      </c>
      <c r="B5" s="554"/>
      <c r="C5" s="554"/>
      <c r="D5" s="554"/>
      <c r="E5" s="554"/>
      <c r="F5" s="555"/>
      <c r="AA5" s="51" t="s">
        <v>28</v>
      </c>
    </row>
    <row r="6" spans="1:27" ht="13.5" thickBot="1"/>
    <row r="7" spans="1:27" ht="51.95" customHeight="1" thickBot="1">
      <c r="A7" s="565" t="s">
        <v>223</v>
      </c>
      <c r="B7" s="580" t="s">
        <v>222</v>
      </c>
      <c r="C7" s="580"/>
      <c r="D7" s="580"/>
      <c r="E7" s="580"/>
      <c r="F7" s="581"/>
    </row>
    <row r="8" spans="1:27" ht="25.5">
      <c r="A8" s="566"/>
      <c r="B8" s="366"/>
      <c r="C8" s="365" t="s">
        <v>221</v>
      </c>
      <c r="D8" s="365" t="s">
        <v>220</v>
      </c>
      <c r="E8" s="365" t="s">
        <v>219</v>
      </c>
      <c r="F8" s="342"/>
    </row>
    <row r="9" spans="1:27" ht="26.1" customHeight="1">
      <c r="A9" s="566"/>
      <c r="B9" s="364" t="s">
        <v>218</v>
      </c>
      <c r="C9" s="363"/>
      <c r="D9" s="363"/>
      <c r="E9" s="363"/>
      <c r="F9" s="342"/>
    </row>
    <row r="10" spans="1:27" ht="26.1" customHeight="1">
      <c r="A10" s="566"/>
      <c r="B10" s="575" t="s">
        <v>217</v>
      </c>
      <c r="C10" s="576"/>
      <c r="D10" s="576"/>
      <c r="E10" s="576"/>
      <c r="F10" s="109"/>
    </row>
    <row r="11" spans="1:27">
      <c r="A11" s="566"/>
      <c r="B11" s="362" t="s">
        <v>216</v>
      </c>
      <c r="C11" s="363"/>
      <c r="D11" s="363"/>
      <c r="E11" s="363"/>
      <c r="F11" s="342"/>
    </row>
    <row r="12" spans="1:27">
      <c r="A12" s="566"/>
      <c r="B12" s="362" t="s">
        <v>215</v>
      </c>
      <c r="C12" s="361"/>
      <c r="D12" s="361"/>
      <c r="E12" s="345"/>
      <c r="F12" s="344" t="s">
        <v>23</v>
      </c>
    </row>
    <row r="13" spans="1:27" ht="25.5">
      <c r="A13" s="566"/>
      <c r="B13" s="362" t="s">
        <v>214</v>
      </c>
      <c r="C13" s="361"/>
      <c r="D13" s="361"/>
      <c r="E13" s="345"/>
      <c r="F13" s="344" t="s">
        <v>23</v>
      </c>
    </row>
    <row r="14" spans="1:27">
      <c r="A14" s="566"/>
      <c r="B14" s="362" t="s">
        <v>213</v>
      </c>
      <c r="C14" s="361"/>
      <c r="D14" s="361"/>
      <c r="E14" s="345"/>
      <c r="F14" s="344" t="s">
        <v>23</v>
      </c>
    </row>
    <row r="15" spans="1:27" ht="26.1" customHeight="1">
      <c r="A15" s="566"/>
      <c r="B15" s="362" t="s">
        <v>212</v>
      </c>
      <c r="C15" s="361"/>
      <c r="D15" s="361"/>
      <c r="E15" s="345"/>
      <c r="F15" s="344" t="s">
        <v>23</v>
      </c>
    </row>
    <row r="16" spans="1:27" ht="13.5" thickBot="1">
      <c r="A16" s="566"/>
      <c r="B16" s="360"/>
      <c r="C16" s="359"/>
      <c r="D16" s="359"/>
      <c r="E16" s="337"/>
      <c r="F16" s="342"/>
    </row>
    <row r="17" spans="1:6" ht="30.95" customHeight="1">
      <c r="A17" s="566"/>
      <c r="B17" s="582" t="s">
        <v>211</v>
      </c>
      <c r="C17" s="583"/>
      <c r="D17" s="583"/>
      <c r="E17" s="358" t="str">
        <f>E9-E11-E12-E13-E14-E15&amp;" jours de 7h"</f>
        <v>0 jours de 7h</v>
      </c>
      <c r="F17" s="357"/>
    </row>
    <row r="18" spans="1:6" ht="13.5" thickBot="1">
      <c r="A18" s="567"/>
      <c r="B18" s="584"/>
      <c r="C18" s="585"/>
      <c r="D18" s="585"/>
      <c r="E18" s="570" t="str">
        <f>"soit "&amp;(E9-E11-E12-E13-E14-E15)*7&amp;" heures par an"</f>
        <v>soit 0 heures par an</v>
      </c>
      <c r="F18" s="571"/>
    </row>
    <row r="21" spans="1:6" ht="13.5" thickBot="1"/>
    <row r="22" spans="1:6" ht="30" customHeight="1" thickBot="1">
      <c r="A22" s="565" t="s">
        <v>210</v>
      </c>
      <c r="B22" s="580" t="s">
        <v>209</v>
      </c>
      <c r="C22" s="580"/>
      <c r="D22" s="580"/>
      <c r="E22" s="580"/>
      <c r="F22" s="581"/>
    </row>
    <row r="23" spans="1:6">
      <c r="A23" s="566"/>
      <c r="B23" s="556" t="s">
        <v>9</v>
      </c>
      <c r="C23" s="557"/>
      <c r="D23" s="557"/>
      <c r="E23" s="349"/>
      <c r="F23" s="327" t="s">
        <v>23</v>
      </c>
    </row>
    <row r="24" spans="1:6">
      <c r="A24" s="566"/>
      <c r="B24" s="558" t="s">
        <v>10</v>
      </c>
      <c r="C24" s="559"/>
      <c r="D24" s="559"/>
      <c r="E24" s="356"/>
      <c r="F24" s="110" t="s">
        <v>23</v>
      </c>
    </row>
    <row r="25" spans="1:6" ht="13.5" thickBot="1">
      <c r="A25" s="566"/>
      <c r="B25" s="560" t="s">
        <v>12</v>
      </c>
      <c r="C25" s="561"/>
      <c r="D25" s="561"/>
      <c r="E25" s="348"/>
      <c r="F25" s="110" t="s">
        <v>23</v>
      </c>
    </row>
    <row r="26" spans="1:6" ht="13.5" thickBot="1">
      <c r="A26" s="566"/>
      <c r="B26" s="562" t="s">
        <v>208</v>
      </c>
      <c r="C26" s="563"/>
      <c r="D26" s="564"/>
      <c r="E26" s="355">
        <f>E23*E24-E25</f>
        <v>0</v>
      </c>
      <c r="F26" s="354"/>
    </row>
    <row r="27" spans="1:6">
      <c r="A27" s="566"/>
      <c r="B27" s="556" t="s">
        <v>207</v>
      </c>
      <c r="C27" s="557"/>
      <c r="D27" s="557"/>
      <c r="E27" s="349"/>
      <c r="F27" s="110" t="s">
        <v>23</v>
      </c>
    </row>
    <row r="28" spans="1:6" ht="13.5" thickBot="1">
      <c r="A28" s="566"/>
      <c r="B28" s="560" t="s">
        <v>206</v>
      </c>
      <c r="C28" s="561"/>
      <c r="D28" s="561"/>
      <c r="E28" s="348"/>
      <c r="F28" s="110" t="s">
        <v>23</v>
      </c>
    </row>
    <row r="29" spans="1:6" ht="13.5" thickBot="1">
      <c r="A29" s="566"/>
      <c r="B29" s="353" t="s">
        <v>205</v>
      </c>
      <c r="C29" s="352"/>
      <c r="D29" s="351" t="s">
        <v>28</v>
      </c>
      <c r="E29" s="350"/>
      <c r="F29" s="110" t="s">
        <v>23</v>
      </c>
    </row>
    <row r="30" spans="1:6">
      <c r="A30" s="566"/>
      <c r="B30" s="592" t="s">
        <v>204</v>
      </c>
      <c r="C30" s="556" t="s">
        <v>203</v>
      </c>
      <c r="D30" s="557"/>
      <c r="E30" s="349"/>
      <c r="F30" s="110" t="s">
        <v>23</v>
      </c>
    </row>
    <row r="31" spans="1:6" ht="13.5" thickBot="1">
      <c r="A31" s="566"/>
      <c r="B31" s="593"/>
      <c r="C31" s="586" t="s">
        <v>202</v>
      </c>
      <c r="D31" s="587"/>
      <c r="E31" s="348"/>
      <c r="F31" s="110" t="s">
        <v>23</v>
      </c>
    </row>
    <row r="32" spans="1:6">
      <c r="A32" s="566"/>
      <c r="B32" s="593"/>
      <c r="C32" s="556" t="s">
        <v>203</v>
      </c>
      <c r="D32" s="557"/>
      <c r="E32" s="349"/>
      <c r="F32" s="110" t="s">
        <v>23</v>
      </c>
    </row>
    <row r="33" spans="1:7" ht="13.5" thickBot="1">
      <c r="A33" s="566"/>
      <c r="B33" s="593"/>
      <c r="C33" s="586" t="s">
        <v>202</v>
      </c>
      <c r="D33" s="587"/>
      <c r="E33" s="348"/>
      <c r="F33" s="110" t="s">
        <v>23</v>
      </c>
    </row>
    <row r="34" spans="1:7" ht="12.95" customHeight="1">
      <c r="A34" s="566"/>
      <c r="B34" s="593"/>
      <c r="C34" s="588" t="s">
        <v>203</v>
      </c>
      <c r="D34" s="589"/>
      <c r="E34" s="347"/>
      <c r="F34" s="110" t="s">
        <v>23</v>
      </c>
    </row>
    <row r="35" spans="1:7" ht="12.95" customHeight="1" thickBot="1">
      <c r="A35" s="566"/>
      <c r="B35" s="593"/>
      <c r="C35" s="590" t="s">
        <v>202</v>
      </c>
      <c r="D35" s="591"/>
      <c r="E35" s="346"/>
      <c r="F35" s="136" t="s">
        <v>23</v>
      </c>
    </row>
    <row r="36" spans="1:7" ht="38.1" customHeight="1" thickBot="1">
      <c r="A36" s="566"/>
      <c r="B36" s="572" t="str">
        <f>IF(AND(E30+E32+E34&lt;&gt;E27,D29="OUI"),"ATTENTION, le nombre d'heures total de la modulation est différent de l'amplitude horaire déclarée en ligne 24"," ")</f>
        <v xml:space="preserve"> </v>
      </c>
      <c r="C36" s="573"/>
      <c r="D36" s="573"/>
      <c r="E36" s="573"/>
      <c r="F36" s="574"/>
    </row>
    <row r="37" spans="1:7" ht="60" customHeight="1" thickBot="1">
      <c r="A37" s="567"/>
      <c r="B37" s="577" t="s">
        <v>201</v>
      </c>
      <c r="C37" s="578"/>
      <c r="D37" s="579"/>
      <c r="E37" s="568" t="str">
        <f>IF(D29="OUI",(E26*(E30*E31+E32*E33+E34*E35))&amp;" heures",(E26*E27*E28)&amp;" heures")</f>
        <v>0 heures</v>
      </c>
      <c r="F37" s="569"/>
    </row>
    <row r="38" spans="1:7" hidden="1">
      <c r="E38" s="51">
        <f>IF(D29="OUI",(E26*(E30*E31+E32*E33+E34*E35)),E26*E27*E28)</f>
        <v>0</v>
      </c>
    </row>
    <row r="40" spans="1:7" ht="13.5" thickBot="1"/>
    <row r="41" spans="1:7" ht="38.1" customHeight="1" thickBot="1">
      <c r="A41" s="565" t="s">
        <v>200</v>
      </c>
      <c r="B41" s="580" t="s">
        <v>199</v>
      </c>
      <c r="C41" s="580"/>
      <c r="D41" s="580"/>
      <c r="E41" s="580"/>
      <c r="F41" s="581"/>
    </row>
    <row r="42" spans="1:7" ht="13.5" thickBot="1">
      <c r="A42" s="566"/>
      <c r="F42" s="342"/>
    </row>
    <row r="43" spans="1:7" ht="32.1" customHeight="1" thickBot="1">
      <c r="A43" s="566"/>
      <c r="B43" s="606" t="s">
        <v>198</v>
      </c>
      <c r="C43" s="607"/>
      <c r="D43" s="607"/>
      <c r="E43" s="345"/>
      <c r="F43" s="344" t="s">
        <v>23</v>
      </c>
      <c r="G43" s="343" t="s">
        <v>192</v>
      </c>
    </row>
    <row r="44" spans="1:7" ht="13.5" thickBot="1">
      <c r="A44" s="566"/>
      <c r="F44" s="342"/>
    </row>
    <row r="45" spans="1:7" ht="32.1" customHeight="1">
      <c r="A45" s="600"/>
      <c r="B45" s="601" t="s">
        <v>197</v>
      </c>
      <c r="C45" s="602"/>
      <c r="D45" s="602"/>
      <c r="E45" s="602"/>
      <c r="F45" s="603"/>
    </row>
    <row r="46" spans="1:7" ht="18.75" thickBot="1">
      <c r="A46" s="600"/>
      <c r="B46" s="598" t="e">
        <f>ROUND((E38/E43)/((E9-E11-E12-E13-E14-E15)*7),2)&amp;" ETP"</f>
        <v>#DIV/0!</v>
      </c>
      <c r="C46" s="608"/>
      <c r="D46" s="608"/>
      <c r="E46" s="608"/>
      <c r="F46" s="599"/>
    </row>
    <row r="47" spans="1:7" ht="13.5" thickBot="1">
      <c r="A47" s="566"/>
      <c r="B47" s="341" t="s">
        <v>196</v>
      </c>
      <c r="C47" s="341" t="s">
        <v>195</v>
      </c>
      <c r="E47" s="604" t="s">
        <v>194</v>
      </c>
      <c r="F47" s="605"/>
    </row>
    <row r="48" spans="1:7" ht="18">
      <c r="A48" s="566"/>
      <c r="B48" s="51" t="s">
        <v>193</v>
      </c>
      <c r="C48" s="340">
        <v>0.4</v>
      </c>
      <c r="D48" s="339" t="s">
        <v>23</v>
      </c>
      <c r="E48" s="596" t="e">
        <f>ROUND(((E38/E43)/((E9-E11-E12-E13-E14-E15)*7)*C48),2)&amp;" ETP diplômés"</f>
        <v>#DIV/0!</v>
      </c>
      <c r="F48" s="597"/>
      <c r="G48" s="594" t="s">
        <v>192</v>
      </c>
    </row>
    <row r="49" spans="1:18" ht="18.75" thickBot="1">
      <c r="A49" s="567"/>
      <c r="B49" s="337" t="s">
        <v>191</v>
      </c>
      <c r="C49" s="338">
        <f>1-C48</f>
        <v>0.6</v>
      </c>
      <c r="D49" s="337"/>
      <c r="E49" s="598" t="e">
        <f>ROUND(((E38/E43)/((E9-E11-E12-E13-E14-E15)*7)*C49),2)&amp;" ETP qualifiés"</f>
        <v>#DIV/0!</v>
      </c>
      <c r="F49" s="599"/>
      <c r="G49" s="595"/>
    </row>
    <row r="50" spans="1:18">
      <c r="A50" s="336"/>
      <c r="C50" s="335"/>
      <c r="E50" s="334"/>
    </row>
    <row r="51" spans="1:18" ht="13.5" thickBot="1">
      <c r="A51" s="336"/>
      <c r="C51" s="335"/>
      <c r="E51" s="334"/>
    </row>
    <row r="52" spans="1:18" ht="13.5" thickBot="1">
      <c r="E52" s="334"/>
      <c r="K52" s="634" t="s">
        <v>190</v>
      </c>
      <c r="L52" s="639"/>
      <c r="M52" s="639"/>
      <c r="N52" s="635"/>
    </row>
    <row r="53" spans="1:18" ht="14.1" customHeight="1" thickBot="1">
      <c r="A53" s="565" t="s">
        <v>189</v>
      </c>
      <c r="B53" s="601" t="s">
        <v>188</v>
      </c>
      <c r="C53" s="602"/>
      <c r="D53" s="602"/>
      <c r="E53" s="602"/>
      <c r="F53" s="603"/>
      <c r="K53" s="634" t="s">
        <v>187</v>
      </c>
      <c r="L53" s="635"/>
      <c r="M53" s="634" t="s">
        <v>186</v>
      </c>
      <c r="N53" s="635"/>
      <c r="P53" s="634" t="s">
        <v>185</v>
      </c>
      <c r="Q53" s="639"/>
      <c r="R53" s="635"/>
    </row>
    <row r="54" spans="1:18" ht="39" customHeight="1" thickBot="1">
      <c r="A54" s="566"/>
      <c r="B54" s="627" t="s">
        <v>240</v>
      </c>
      <c r="C54" s="628"/>
      <c r="D54" s="628"/>
      <c r="E54" s="628"/>
      <c r="F54" s="628"/>
      <c r="G54" s="628"/>
      <c r="H54" s="629"/>
      <c r="K54" s="370"/>
      <c r="L54" s="371"/>
      <c r="M54" s="370"/>
      <c r="N54" s="371"/>
      <c r="P54" s="370"/>
      <c r="Q54" s="392"/>
      <c r="R54" s="393"/>
    </row>
    <row r="55" spans="1:18" ht="77.099999999999994" customHeight="1" thickBot="1">
      <c r="A55" s="566"/>
      <c r="B55" s="394" t="s">
        <v>178</v>
      </c>
      <c r="C55" s="395" t="s">
        <v>184</v>
      </c>
      <c r="D55" s="395" t="s">
        <v>183</v>
      </c>
      <c r="E55" s="396" t="s">
        <v>182</v>
      </c>
      <c r="F55" s="333"/>
      <c r="G55" s="630" t="s">
        <v>181</v>
      </c>
      <c r="H55" s="631"/>
      <c r="K55" s="332" t="s">
        <v>180</v>
      </c>
      <c r="L55" s="331" t="s">
        <v>179</v>
      </c>
      <c r="M55" s="332" t="s">
        <v>180</v>
      </c>
      <c r="N55" s="331" t="s">
        <v>179</v>
      </c>
      <c r="P55" s="330" t="s">
        <v>178</v>
      </c>
      <c r="Q55" s="632" t="s">
        <v>324</v>
      </c>
      <c r="R55" s="633"/>
    </row>
    <row r="56" spans="1:18" ht="15" customHeight="1">
      <c r="A56" s="566"/>
      <c r="B56" s="321" t="s">
        <v>177</v>
      </c>
      <c r="C56" s="329" t="s">
        <v>165</v>
      </c>
      <c r="D56" s="329" t="s">
        <v>169</v>
      </c>
      <c r="E56" s="328"/>
      <c r="F56" s="327" t="s">
        <v>23</v>
      </c>
      <c r="G56" s="636" t="s">
        <v>176</v>
      </c>
      <c r="H56" s="640" t="s">
        <v>175</v>
      </c>
      <c r="K56" s="326">
        <v>31440</v>
      </c>
      <c r="L56" s="325">
        <f t="shared" ref="L56:L67" si="0">E56*K56</f>
        <v>0</v>
      </c>
      <c r="M56" s="326"/>
      <c r="N56" s="325">
        <f t="shared" ref="N56:N67" si="1">E56*M56</f>
        <v>0</v>
      </c>
      <c r="P56" s="322" t="s">
        <v>174</v>
      </c>
      <c r="Q56" s="324">
        <v>31000</v>
      </c>
      <c r="R56" s="323">
        <v>40000</v>
      </c>
    </row>
    <row r="57" spans="1:18" ht="15.75">
      <c r="A57" s="566"/>
      <c r="B57" s="321" t="s">
        <v>242</v>
      </c>
      <c r="C57" s="320" t="s">
        <v>165</v>
      </c>
      <c r="D57" s="320" t="s">
        <v>169</v>
      </c>
      <c r="E57" s="314"/>
      <c r="F57" s="110" t="s">
        <v>23</v>
      </c>
      <c r="G57" s="637"/>
      <c r="H57" s="641"/>
      <c r="K57" s="313"/>
      <c r="L57" s="312">
        <f t="shared" si="0"/>
        <v>0</v>
      </c>
      <c r="M57" s="313"/>
      <c r="N57" s="312">
        <f t="shared" si="1"/>
        <v>0</v>
      </c>
      <c r="P57" s="322" t="s">
        <v>173</v>
      </c>
      <c r="Q57" s="318"/>
      <c r="R57" s="317"/>
    </row>
    <row r="58" spans="1:18" ht="15.75">
      <c r="A58" s="566"/>
      <c r="B58" s="321" t="s">
        <v>172</v>
      </c>
      <c r="C58" s="320" t="s">
        <v>165</v>
      </c>
      <c r="D58" s="320" t="s">
        <v>169</v>
      </c>
      <c r="E58" s="314"/>
      <c r="F58" s="110" t="s">
        <v>23</v>
      </c>
      <c r="G58" s="637"/>
      <c r="H58" s="641"/>
      <c r="K58" s="313"/>
      <c r="L58" s="312">
        <f t="shared" si="0"/>
        <v>0</v>
      </c>
      <c r="M58" s="313"/>
      <c r="N58" s="312">
        <f t="shared" si="1"/>
        <v>0</v>
      </c>
      <c r="P58" s="322" t="s">
        <v>172</v>
      </c>
      <c r="Q58" s="318">
        <v>23000</v>
      </c>
      <c r="R58" s="317">
        <v>27000</v>
      </c>
    </row>
    <row r="59" spans="1:18" ht="15.75">
      <c r="A59" s="566"/>
      <c r="B59" s="321" t="s">
        <v>171</v>
      </c>
      <c r="C59" s="320" t="s">
        <v>165</v>
      </c>
      <c r="D59" s="320" t="s">
        <v>169</v>
      </c>
      <c r="E59" s="314"/>
      <c r="F59" s="110" t="s">
        <v>23</v>
      </c>
      <c r="G59" s="637"/>
      <c r="H59" s="641"/>
      <c r="K59" s="313"/>
      <c r="L59" s="312">
        <f t="shared" si="0"/>
        <v>0</v>
      </c>
      <c r="M59" s="313"/>
      <c r="N59" s="312">
        <f t="shared" si="1"/>
        <v>0</v>
      </c>
      <c r="P59" s="322" t="s">
        <v>171</v>
      </c>
      <c r="Q59" s="318"/>
      <c r="R59" s="317"/>
    </row>
    <row r="60" spans="1:18" ht="15.75">
      <c r="A60" s="566"/>
      <c r="B60" s="321" t="s">
        <v>170</v>
      </c>
      <c r="C60" s="320" t="s">
        <v>165</v>
      </c>
      <c r="D60" s="320" t="s">
        <v>169</v>
      </c>
      <c r="E60" s="314"/>
      <c r="F60" s="110" t="s">
        <v>23</v>
      </c>
      <c r="G60" s="637"/>
      <c r="H60" s="641"/>
      <c r="K60" s="313"/>
      <c r="L60" s="312">
        <f t="shared" si="0"/>
        <v>0</v>
      </c>
      <c r="M60" s="313"/>
      <c r="N60" s="312">
        <f t="shared" si="1"/>
        <v>0</v>
      </c>
      <c r="P60" s="322" t="s">
        <v>170</v>
      </c>
      <c r="Q60" s="318"/>
      <c r="R60" s="317"/>
    </row>
    <row r="61" spans="1:18" ht="15.75">
      <c r="A61" s="566"/>
      <c r="B61" s="321" t="s">
        <v>168</v>
      </c>
      <c r="C61" s="320" t="s">
        <v>165</v>
      </c>
      <c r="D61" s="320" t="s">
        <v>169</v>
      </c>
      <c r="E61" s="314"/>
      <c r="F61" s="110" t="s">
        <v>23</v>
      </c>
      <c r="G61" s="637"/>
      <c r="H61" s="641"/>
      <c r="K61" s="313"/>
      <c r="L61" s="312">
        <f t="shared" si="0"/>
        <v>0</v>
      </c>
      <c r="M61" s="313"/>
      <c r="N61" s="312">
        <f t="shared" si="1"/>
        <v>0</v>
      </c>
      <c r="P61" s="322" t="s">
        <v>168</v>
      </c>
      <c r="Q61" s="318">
        <v>19000</v>
      </c>
      <c r="R61" s="317">
        <v>25000</v>
      </c>
    </row>
    <row r="62" spans="1:18" ht="15.75">
      <c r="A62" s="566"/>
      <c r="B62" s="321" t="s">
        <v>166</v>
      </c>
      <c r="C62" s="320" t="s">
        <v>165</v>
      </c>
      <c r="D62" s="320" t="s">
        <v>164</v>
      </c>
      <c r="E62" s="314"/>
      <c r="F62" s="110" t="s">
        <v>23</v>
      </c>
      <c r="G62" s="637" t="s">
        <v>167</v>
      </c>
      <c r="H62" s="641"/>
      <c r="K62" s="313">
        <v>18000</v>
      </c>
      <c r="L62" s="312">
        <f t="shared" si="0"/>
        <v>0</v>
      </c>
      <c r="M62" s="313"/>
      <c r="N62" s="312">
        <f t="shared" si="1"/>
        <v>0</v>
      </c>
      <c r="P62" s="322" t="s">
        <v>166</v>
      </c>
      <c r="Q62" s="318"/>
      <c r="R62" s="317"/>
    </row>
    <row r="63" spans="1:18" ht="15.75">
      <c r="A63" s="566"/>
      <c r="B63" s="321" t="s">
        <v>163</v>
      </c>
      <c r="C63" s="320" t="s">
        <v>165</v>
      </c>
      <c r="D63" s="320" t="s">
        <v>164</v>
      </c>
      <c r="E63" s="314"/>
      <c r="F63" s="110" t="s">
        <v>23</v>
      </c>
      <c r="G63" s="637"/>
      <c r="H63" s="641"/>
      <c r="K63" s="313"/>
      <c r="L63" s="312">
        <f t="shared" si="0"/>
        <v>0</v>
      </c>
      <c r="M63" s="313"/>
      <c r="N63" s="312">
        <f t="shared" si="1"/>
        <v>0</v>
      </c>
      <c r="P63" s="322" t="s">
        <v>163</v>
      </c>
      <c r="Q63" s="318">
        <v>14000</v>
      </c>
      <c r="R63" s="317">
        <v>18000</v>
      </c>
    </row>
    <row r="64" spans="1:18" ht="15.75">
      <c r="A64" s="566"/>
      <c r="B64" s="321" t="s">
        <v>162</v>
      </c>
      <c r="C64" s="320" t="s">
        <v>158</v>
      </c>
      <c r="D64" s="315"/>
      <c r="E64" s="314"/>
      <c r="F64" s="110" t="s">
        <v>23</v>
      </c>
      <c r="G64" s="637"/>
      <c r="H64" s="641"/>
      <c r="K64" s="313"/>
      <c r="L64" s="312">
        <f t="shared" si="0"/>
        <v>0</v>
      </c>
      <c r="M64" s="313"/>
      <c r="N64" s="312">
        <f t="shared" si="1"/>
        <v>0</v>
      </c>
      <c r="P64" s="319" t="s">
        <v>161</v>
      </c>
      <c r="Q64" s="318"/>
      <c r="R64" s="317"/>
    </row>
    <row r="65" spans="1:18" ht="15.75">
      <c r="A65" s="566"/>
      <c r="B65" s="316" t="s">
        <v>243</v>
      </c>
      <c r="C65" s="315" t="s">
        <v>158</v>
      </c>
      <c r="D65" s="315"/>
      <c r="E65" s="314"/>
      <c r="F65" s="110" t="s">
        <v>23</v>
      </c>
      <c r="G65" s="637"/>
      <c r="H65" s="641"/>
      <c r="K65" s="313"/>
      <c r="L65" s="312">
        <f t="shared" si="0"/>
        <v>0</v>
      </c>
      <c r="M65" s="313"/>
      <c r="N65" s="312">
        <f t="shared" si="1"/>
        <v>0</v>
      </c>
      <c r="P65" s="319" t="s">
        <v>160</v>
      </c>
      <c r="Q65" s="318">
        <v>14000</v>
      </c>
      <c r="R65" s="317">
        <v>17000</v>
      </c>
    </row>
    <row r="66" spans="1:18" ht="16.5" thickBot="1">
      <c r="A66" s="566"/>
      <c r="B66" s="316" t="s">
        <v>160</v>
      </c>
      <c r="C66" s="315" t="s">
        <v>158</v>
      </c>
      <c r="D66" s="315"/>
      <c r="E66" s="314"/>
      <c r="F66" s="110" t="s">
        <v>23</v>
      </c>
      <c r="G66" s="637"/>
      <c r="H66" s="641"/>
      <c r="K66" s="313">
        <v>17471</v>
      </c>
      <c r="L66" s="312">
        <f t="shared" si="0"/>
        <v>0</v>
      </c>
      <c r="M66" s="313"/>
      <c r="N66" s="312">
        <f t="shared" si="1"/>
        <v>0</v>
      </c>
      <c r="P66" s="311" t="s">
        <v>159</v>
      </c>
      <c r="Q66" s="310"/>
      <c r="R66" s="309"/>
    </row>
    <row r="67" spans="1:18" ht="16.5" thickBot="1">
      <c r="A67" s="566"/>
      <c r="B67" s="308" t="s">
        <v>159</v>
      </c>
      <c r="C67" s="307" t="s">
        <v>158</v>
      </c>
      <c r="D67" s="307"/>
      <c r="E67" s="306"/>
      <c r="F67" s="136" t="s">
        <v>23</v>
      </c>
      <c r="G67" s="638"/>
      <c r="H67" s="642"/>
      <c r="K67" s="305"/>
      <c r="L67" s="304">
        <f t="shared" si="0"/>
        <v>0</v>
      </c>
      <c r="M67" s="305"/>
      <c r="N67" s="304">
        <f t="shared" si="1"/>
        <v>0</v>
      </c>
    </row>
    <row r="68" spans="1:18" ht="16.5" thickBot="1">
      <c r="A68" s="566"/>
      <c r="B68" s="615" t="s">
        <v>157</v>
      </c>
      <c r="C68" s="616"/>
      <c r="D68" s="617"/>
      <c r="E68" s="303">
        <f>SUM(E56:E67)</f>
        <v>0</v>
      </c>
      <c r="F68" s="302" t="e">
        <f>ROUND(E68/E28,2)&amp;" par agr."</f>
        <v>#DIV/0!</v>
      </c>
      <c r="J68" s="301" t="s">
        <v>156</v>
      </c>
      <c r="K68" s="647">
        <f>SUM(L56:L67)</f>
        <v>0</v>
      </c>
      <c r="L68" s="647"/>
      <c r="M68" s="647">
        <f>SUM(N56:N67)</f>
        <v>0</v>
      </c>
      <c r="N68" s="648"/>
    </row>
    <row r="69" spans="1:18" ht="30" customHeight="1" thickBot="1">
      <c r="A69" s="566"/>
      <c r="B69" s="612" t="s">
        <v>155</v>
      </c>
      <c r="C69" s="613"/>
      <c r="D69" s="614"/>
      <c r="E69" s="300">
        <f>SUMIF($D56:$D67,"D",E56:E67)</f>
        <v>0</v>
      </c>
      <c r="F69" s="299" t="e">
        <f>E69/E71</f>
        <v>#DIV/0!</v>
      </c>
      <c r="G69" s="643" t="e">
        <f>IF(F69&lt;C48,"ATTENTION: pourcentage de diplômés inférieur au pourcentage requis en Etape 3","Pourcentage de diplômés conforme au minimum requis en Etape 3")</f>
        <v>#DIV/0!</v>
      </c>
      <c r="H69" s="644"/>
      <c r="J69" s="148" t="s">
        <v>154</v>
      </c>
      <c r="K69" s="649" t="e">
        <f>K68/E68</f>
        <v>#DIV/0!</v>
      </c>
      <c r="L69" s="649"/>
      <c r="M69" s="649" t="e">
        <f>M68/E68</f>
        <v>#DIV/0!</v>
      </c>
      <c r="N69" s="650"/>
    </row>
    <row r="70" spans="1:18" ht="30" customHeight="1" thickBot="1">
      <c r="A70" s="566"/>
      <c r="B70" s="609" t="s">
        <v>153</v>
      </c>
      <c r="C70" s="610"/>
      <c r="D70" s="611"/>
      <c r="E70" s="298">
        <f>SUMIF($D56:$D67,"Q",E56:E67)</f>
        <v>0</v>
      </c>
      <c r="F70" s="297" t="e">
        <f>E70/E71</f>
        <v>#DIV/0!</v>
      </c>
      <c r="G70" s="645"/>
      <c r="H70" s="646"/>
      <c r="J70" s="296" t="s">
        <v>152</v>
      </c>
      <c r="K70" s="649" t="e">
        <f>K68/E28</f>
        <v>#DIV/0!</v>
      </c>
      <c r="L70" s="649"/>
      <c r="M70" s="649" t="e">
        <f>M68/E28</f>
        <v>#DIV/0!</v>
      </c>
      <c r="N70" s="650"/>
    </row>
    <row r="71" spans="1:18" ht="19.5" thickBot="1">
      <c r="A71" s="566"/>
      <c r="B71" s="680" t="s">
        <v>151</v>
      </c>
      <c r="C71" s="681"/>
      <c r="D71" s="682"/>
      <c r="E71" s="295">
        <f>E69+E70</f>
        <v>0</v>
      </c>
    </row>
    <row r="72" spans="1:18" ht="16.5" thickBot="1">
      <c r="A72" s="566"/>
      <c r="B72" s="615" t="s">
        <v>150</v>
      </c>
      <c r="C72" s="616"/>
      <c r="D72" s="617"/>
      <c r="E72" s="294">
        <f>SUMIF($C56:$C67,"NE",E56:E67)</f>
        <v>0</v>
      </c>
    </row>
    <row r="73" spans="1:18" ht="15.95" customHeight="1" thickBot="1">
      <c r="A73" s="567"/>
      <c r="B73" s="292"/>
      <c r="C73" s="292"/>
      <c r="E73" s="292">
        <f>SUMIF($C56:$C67,"E",E56:E67)</f>
        <v>0</v>
      </c>
      <c r="F73" s="618" t="str">
        <f>IF(E73&lt;&gt;E71,"ATTENTION, vous avez saisi D ou Q pour une personne hors encadrement, ou bien vous n'avez pas saisi D ou Q pour une personne auprès des enfants"," ")</f>
        <v xml:space="preserve"> </v>
      </c>
      <c r="G73" s="619"/>
      <c r="H73" s="620"/>
    </row>
    <row r="74" spans="1:18" ht="24.95" customHeight="1">
      <c r="A74" s="292"/>
      <c r="B74" s="292"/>
      <c r="C74" s="292"/>
      <c r="D74" s="292"/>
      <c r="E74" s="292"/>
      <c r="F74" s="621"/>
      <c r="G74" s="622"/>
      <c r="H74" s="623"/>
    </row>
    <row r="75" spans="1:18" ht="24.95" customHeight="1" thickBot="1">
      <c r="A75" s="292"/>
      <c r="B75" s="292"/>
      <c r="C75" s="292"/>
      <c r="D75" s="292"/>
      <c r="E75" s="292"/>
      <c r="F75" s="624"/>
      <c r="G75" s="625"/>
      <c r="H75" s="626"/>
      <c r="I75" s="293"/>
    </row>
    <row r="76" spans="1:18" ht="16.5" thickBot="1">
      <c r="A76" s="292"/>
      <c r="B76" s="292"/>
      <c r="C76" s="292"/>
      <c r="D76" s="292"/>
      <c r="E76" s="292"/>
      <c r="F76" s="281"/>
    </row>
    <row r="77" spans="1:18" ht="51.95" customHeight="1" thickBot="1">
      <c r="A77" s="565" t="s">
        <v>149</v>
      </c>
      <c r="B77" s="661" t="s">
        <v>148</v>
      </c>
      <c r="C77" s="580"/>
      <c r="D77" s="580"/>
      <c r="E77" s="581"/>
    </row>
    <row r="78" spans="1:18" ht="45" customHeight="1">
      <c r="A78" s="566"/>
      <c r="B78" s="677" t="s">
        <v>147</v>
      </c>
      <c r="C78" s="678"/>
      <c r="D78" s="679"/>
      <c r="E78" s="291" t="str">
        <f>E38&amp;" Heures"</f>
        <v>0 Heures</v>
      </c>
    </row>
    <row r="79" spans="1:18" ht="35.1" customHeight="1" thickBot="1">
      <c r="A79" s="566"/>
      <c r="B79" s="658" t="s">
        <v>146</v>
      </c>
      <c r="C79" s="659" t="s">
        <v>145</v>
      </c>
      <c r="D79" s="660" t="s">
        <v>144</v>
      </c>
      <c r="E79" s="290" t="str">
        <f>(E9-E11-E12-E13-E14-E15)*7&amp;" Heures"</f>
        <v>0 Heures</v>
      </c>
    </row>
    <row r="80" spans="1:18" ht="53.1" customHeight="1" thickBot="1">
      <c r="A80" s="566"/>
      <c r="B80" s="665"/>
      <c r="C80" s="666"/>
      <c r="D80" s="667"/>
      <c r="E80" s="289" t="s">
        <v>143</v>
      </c>
      <c r="F80" s="288" t="s">
        <v>142</v>
      </c>
    </row>
    <row r="81" spans="1:6" ht="35.1" customHeight="1">
      <c r="A81" s="566"/>
      <c r="B81" s="668" t="s">
        <v>141</v>
      </c>
      <c r="C81" s="669"/>
      <c r="D81" s="670"/>
      <c r="E81" s="287" t="str">
        <f>E43&amp;" Enfants"</f>
        <v xml:space="preserve"> Enfants</v>
      </c>
      <c r="F81" s="287" t="e">
        <f>ROUND((E38/((E9-E11-E12-E13-E14-E15)*7)/E71),2)&amp;" Enfants"</f>
        <v>#DIV/0!</v>
      </c>
    </row>
    <row r="82" spans="1:6" ht="36.950000000000003" customHeight="1">
      <c r="A82" s="566"/>
      <c r="B82" s="655" t="s">
        <v>306</v>
      </c>
      <c r="C82" s="656"/>
      <c r="D82" s="657"/>
      <c r="E82" s="286" t="e">
        <f>ROUND((E38/E43)/((E9-E11-E12-E13-E14-E15)*7),2)&amp;" ETP"</f>
        <v>#DIV/0!</v>
      </c>
      <c r="F82" s="286" t="str">
        <f>ROUND(E71,2)&amp;" ETP"</f>
        <v>0 ETP</v>
      </c>
    </row>
    <row r="83" spans="1:6" ht="19.5" thickBot="1">
      <c r="A83" s="566"/>
      <c r="B83" s="662" t="s">
        <v>307</v>
      </c>
      <c r="C83" s="663"/>
      <c r="D83" s="664"/>
      <c r="E83" s="285">
        <f>C48</f>
        <v>0.4</v>
      </c>
      <c r="F83" s="285" t="e">
        <f>F69</f>
        <v>#DIV/0!</v>
      </c>
    </row>
    <row r="84" spans="1:6" ht="18.75">
      <c r="A84" s="566"/>
      <c r="B84" s="671" t="s">
        <v>140</v>
      </c>
      <c r="C84" s="672"/>
      <c r="D84" s="672"/>
      <c r="E84" s="673"/>
      <c r="F84" s="284">
        <f>K68</f>
        <v>0</v>
      </c>
    </row>
    <row r="85" spans="1:6" ht="19.5" thickBot="1">
      <c r="A85" s="567"/>
      <c r="B85" s="674" t="s">
        <v>139</v>
      </c>
      <c r="C85" s="675"/>
      <c r="D85" s="675"/>
      <c r="E85" s="676"/>
      <c r="F85" s="283">
        <f>M68</f>
        <v>0</v>
      </c>
    </row>
    <row r="86" spans="1:6" ht="15.75">
      <c r="A86" s="281"/>
      <c r="B86" s="281"/>
      <c r="C86" s="282"/>
      <c r="D86" s="281"/>
      <c r="E86" s="280"/>
      <c r="F86" s="279"/>
    </row>
    <row r="87" spans="1:6" ht="15.75">
      <c r="A87" s="281"/>
      <c r="B87" s="281"/>
      <c r="C87" s="282"/>
      <c r="D87" s="281"/>
      <c r="E87" s="280"/>
      <c r="F87" s="279"/>
    </row>
    <row r="88" spans="1:6" ht="15.75">
      <c r="A88" s="281"/>
      <c r="B88" s="281"/>
      <c r="C88" s="282"/>
      <c r="D88" s="281"/>
      <c r="E88" s="280"/>
      <c r="F88" s="279"/>
    </row>
  </sheetData>
  <sheetProtection formatCells="0" formatColumns="0" formatRows="0"/>
  <mergeCells count="70">
    <mergeCell ref="C1:E1"/>
    <mergeCell ref="C3:E3"/>
    <mergeCell ref="A77:A85"/>
    <mergeCell ref="B82:D82"/>
    <mergeCell ref="B79:D79"/>
    <mergeCell ref="B77:E77"/>
    <mergeCell ref="B83:D83"/>
    <mergeCell ref="B80:D80"/>
    <mergeCell ref="B81:D81"/>
    <mergeCell ref="B84:E84"/>
    <mergeCell ref="B85:E85"/>
    <mergeCell ref="B78:D78"/>
    <mergeCell ref="B22:F22"/>
    <mergeCell ref="A53:A73"/>
    <mergeCell ref="B72:D72"/>
    <mergeCell ref="B71:D71"/>
    <mergeCell ref="K52:N52"/>
    <mergeCell ref="G69:H70"/>
    <mergeCell ref="K68:L68"/>
    <mergeCell ref="M68:N68"/>
    <mergeCell ref="K69:L69"/>
    <mergeCell ref="M69:N69"/>
    <mergeCell ref="M70:N70"/>
    <mergeCell ref="K70:L70"/>
    <mergeCell ref="Q55:R55"/>
    <mergeCell ref="K53:L53"/>
    <mergeCell ref="M53:N53"/>
    <mergeCell ref="G56:G61"/>
    <mergeCell ref="G62:G67"/>
    <mergeCell ref="P53:R53"/>
    <mergeCell ref="H56:H67"/>
    <mergeCell ref="B70:D70"/>
    <mergeCell ref="B69:D69"/>
    <mergeCell ref="B68:D68"/>
    <mergeCell ref="B53:F53"/>
    <mergeCell ref="F73:H75"/>
    <mergeCell ref="B54:H54"/>
    <mergeCell ref="G55:H55"/>
    <mergeCell ref="G48:G49"/>
    <mergeCell ref="E48:F48"/>
    <mergeCell ref="E49:F49"/>
    <mergeCell ref="A41:A49"/>
    <mergeCell ref="B45:F45"/>
    <mergeCell ref="E47:F47"/>
    <mergeCell ref="B41:F41"/>
    <mergeCell ref="B43:D43"/>
    <mergeCell ref="B46:F46"/>
    <mergeCell ref="C33:D33"/>
    <mergeCell ref="C34:D34"/>
    <mergeCell ref="C35:D35"/>
    <mergeCell ref="B28:D28"/>
    <mergeCell ref="B30:B35"/>
    <mergeCell ref="C31:D31"/>
    <mergeCell ref="C32:D32"/>
    <mergeCell ref="A5:F5"/>
    <mergeCell ref="B23:D23"/>
    <mergeCell ref="B24:D24"/>
    <mergeCell ref="B25:D25"/>
    <mergeCell ref="B26:D26"/>
    <mergeCell ref="A7:A18"/>
    <mergeCell ref="A22:A37"/>
    <mergeCell ref="E37:F37"/>
    <mergeCell ref="C30:D30"/>
    <mergeCell ref="E18:F18"/>
    <mergeCell ref="B27:D27"/>
    <mergeCell ref="B36:F36"/>
    <mergeCell ref="B10:E10"/>
    <mergeCell ref="B37:D37"/>
    <mergeCell ref="B7:F7"/>
    <mergeCell ref="B17:D18"/>
  </mergeCells>
  <conditionalFormatting sqref="F73">
    <cfRule type="cellIs" dxfId="17" priority="2" operator="notEqual">
      <formula>" "</formula>
    </cfRule>
  </conditionalFormatting>
  <conditionalFormatting sqref="B36:F36">
    <cfRule type="cellIs" dxfId="16" priority="1" operator="notEqual">
      <formula>" "</formula>
    </cfRule>
  </conditionalFormatting>
  <dataValidations count="1">
    <dataValidation type="list" allowBlank="1" showInputMessage="1" showErrorMessage="1" sqref="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formula1>$AA$4:$AA$5</formula1>
    </dataValidation>
  </dataValidations>
  <pageMargins left="0.75000000000000011" right="0.75000000000000011" top="0.984251969" bottom="0.984251969" header="0.5" footer="0.5"/>
  <pageSetup paperSize="9" scale="40" fitToHeight="2" orientation="portrait" horizontalDpi="4294967292" verticalDpi="429496729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0"/>
  <sheetViews>
    <sheetView showZeros="0" zoomScale="66" zoomScaleNormal="66" workbookViewId="0">
      <pane xSplit="2" ySplit="9" topLeftCell="C10" activePane="bottomRight" state="frozen"/>
      <selection pane="topRight" activeCell="C1" sqref="C1"/>
      <selection pane="bottomLeft" activeCell="A10" sqref="A10"/>
      <selection pane="bottomRight" activeCell="H1" sqref="H1"/>
    </sheetView>
  </sheetViews>
  <sheetFormatPr baseColWidth="10" defaultColWidth="10.875" defaultRowHeight="12.75"/>
  <cols>
    <col min="1" max="1" width="12.625" style="51" customWidth="1"/>
    <col min="2" max="2" width="71.875" style="51" customWidth="1"/>
    <col min="3" max="8" width="14.875" style="51" customWidth="1"/>
    <col min="9" max="9" width="14.875" style="52" customWidth="1"/>
    <col min="10" max="10" width="14.875" style="51" customWidth="1"/>
    <col min="11" max="11" width="10.625" style="51" hidden="1" customWidth="1"/>
    <col min="12" max="12" width="14.5" style="341" hidden="1" customWidth="1"/>
    <col min="13" max="13" width="60.5" style="51" bestFit="1" customWidth="1"/>
    <col min="14" max="15" width="10.625" style="51" customWidth="1"/>
    <col min="16" max="17" width="13.125" style="51" customWidth="1"/>
    <col min="18" max="18" width="25.125" style="51" customWidth="1"/>
    <col min="19" max="33" width="10.625" style="51" customWidth="1"/>
    <col min="34" max="16384" width="10.875" style="51"/>
  </cols>
  <sheetData>
    <row r="1" spans="1:17" ht="25.5" thickBot="1">
      <c r="B1" s="449" t="str">
        <f>'0-ACCUEIL &amp; PARAMETRES'!C4</f>
        <v>XXXXXXXX</v>
      </c>
      <c r="C1" s="698" t="s">
        <v>317</v>
      </c>
      <c r="D1" s="699"/>
      <c r="E1" s="699"/>
      <c r="F1" s="699"/>
      <c r="G1" s="148" t="s">
        <v>43</v>
      </c>
      <c r="H1" s="369">
        <f ca="1">TODAY()</f>
        <v>43813</v>
      </c>
      <c r="K1" s="2" t="s">
        <v>27</v>
      </c>
      <c r="L1" s="341" t="s">
        <v>252</v>
      </c>
    </row>
    <row r="2" spans="1:17" ht="26.1" customHeight="1" thickBot="1">
      <c r="A2" s="465" t="s">
        <v>23</v>
      </c>
      <c r="B2" s="424" t="s">
        <v>267</v>
      </c>
      <c r="K2" s="9" t="s">
        <v>28</v>
      </c>
    </row>
    <row r="3" spans="1:17" ht="20.100000000000001" customHeight="1">
      <c r="A3" s="465" t="s">
        <v>23</v>
      </c>
      <c r="B3" s="147" t="s">
        <v>26</v>
      </c>
      <c r="C3" s="250" t="s">
        <v>323</v>
      </c>
      <c r="D3" s="250"/>
      <c r="E3" s="250"/>
      <c r="F3" s="250"/>
      <c r="G3" s="250"/>
      <c r="H3" s="251"/>
      <c r="I3" s="107"/>
    </row>
    <row r="4" spans="1:17" ht="20.100000000000001" customHeight="1" thickBot="1">
      <c r="A4" s="465" t="s">
        <v>23</v>
      </c>
      <c r="B4" s="146" t="s">
        <v>25</v>
      </c>
      <c r="C4" s="209"/>
      <c r="D4" s="209"/>
      <c r="E4" s="209"/>
      <c r="F4" s="209"/>
      <c r="G4" s="209"/>
      <c r="H4" s="209"/>
      <c r="I4" s="107"/>
    </row>
    <row r="5" spans="1:17" ht="15.95" customHeight="1" thickBot="1">
      <c r="A5" s="700" t="s">
        <v>304</v>
      </c>
    </row>
    <row r="6" spans="1:17" ht="20.100000000000001" customHeight="1" thickBot="1">
      <c r="A6" s="700"/>
      <c r="B6" s="144" t="s">
        <v>30</v>
      </c>
      <c r="C6" s="145" t="s">
        <v>27</v>
      </c>
      <c r="D6" s="145" t="s">
        <v>27</v>
      </c>
      <c r="E6" s="145" t="s">
        <v>27</v>
      </c>
      <c r="F6" s="145" t="s">
        <v>27</v>
      </c>
      <c r="G6" s="145" t="s">
        <v>27</v>
      </c>
      <c r="H6" s="145" t="s">
        <v>27</v>
      </c>
      <c r="I6" s="107"/>
    </row>
    <row r="7" spans="1:17" ht="20.100000000000001" customHeight="1" thickBot="1">
      <c r="A7" s="700"/>
      <c r="B7" s="144" t="s">
        <v>34</v>
      </c>
      <c r="C7" s="143" t="s">
        <v>28</v>
      </c>
      <c r="D7" s="143" t="s">
        <v>28</v>
      </c>
      <c r="E7" s="143" t="s">
        <v>28</v>
      </c>
      <c r="F7" s="143" t="s">
        <v>28</v>
      </c>
      <c r="G7" s="143" t="s">
        <v>28</v>
      </c>
      <c r="H7" s="143" t="s">
        <v>28</v>
      </c>
      <c r="I7" s="107"/>
    </row>
    <row r="8" spans="1:17" ht="15.95" customHeight="1" thickBot="1">
      <c r="A8" s="700"/>
      <c r="B8" s="142"/>
      <c r="C8" s="8" t="e">
        <f>MATCH(C4,'0-ACCUEIL &amp; PARAMETRES'!$F$18:$N$18)+1</f>
        <v>#N/A</v>
      </c>
      <c r="D8" s="8" t="e">
        <f>MATCH(D4,'0-ACCUEIL &amp; PARAMETRES'!$F$18:$N$18)+1</f>
        <v>#N/A</v>
      </c>
      <c r="E8" s="8" t="e">
        <f>MATCH(E4,'0-ACCUEIL &amp; PARAMETRES'!$F$18:$N$18)+1</f>
        <v>#N/A</v>
      </c>
      <c r="F8" s="8" t="e">
        <f>MATCH(F4,'0-ACCUEIL &amp; PARAMETRES'!$F$18:$N$18)+1</f>
        <v>#N/A</v>
      </c>
      <c r="G8" s="8" t="e">
        <f>MATCH(G4,'0-ACCUEIL &amp; PARAMETRES'!$F$18:$N$18)+1</f>
        <v>#N/A</v>
      </c>
      <c r="H8" s="8" t="e">
        <f>MATCH(H4,'0-ACCUEIL &amp; PARAMETRES'!$F$18:$N$18)+1</f>
        <v>#N/A</v>
      </c>
    </row>
    <row r="9" spans="1:17" ht="20.100000000000001" customHeight="1" thickBot="1">
      <c r="A9" s="466"/>
      <c r="B9" s="141" t="s">
        <v>4</v>
      </c>
      <c r="C9" s="140" t="e">
        <f t="shared" ref="C9:H9" si="0">C$84-C$94</f>
        <v>#N/A</v>
      </c>
      <c r="D9" s="140" t="e">
        <f t="shared" si="0"/>
        <v>#N/A</v>
      </c>
      <c r="E9" s="140" t="e">
        <f t="shared" si="0"/>
        <v>#N/A</v>
      </c>
      <c r="F9" s="140" t="e">
        <f t="shared" si="0"/>
        <v>#N/A</v>
      </c>
      <c r="G9" s="140" t="e">
        <f t="shared" si="0"/>
        <v>#N/A</v>
      </c>
      <c r="H9" s="140" t="e">
        <f t="shared" si="0"/>
        <v>#N/A</v>
      </c>
      <c r="I9" s="107"/>
    </row>
    <row r="10" spans="1:17" ht="15.95" customHeight="1" thickBot="1">
      <c r="A10" s="466"/>
      <c r="B10" s="139"/>
      <c r="C10" s="138"/>
      <c r="D10" s="138"/>
      <c r="E10" s="138"/>
      <c r="F10" s="138"/>
      <c r="G10" s="138"/>
      <c r="H10" s="138"/>
      <c r="Q10" s="124"/>
    </row>
    <row r="11" spans="1:17" ht="20.100000000000001" customHeight="1" thickBot="1">
      <c r="A11" s="492"/>
      <c r="B11" s="701" t="s">
        <v>24</v>
      </c>
      <c r="C11" s="702"/>
      <c r="D11" s="702"/>
      <c r="E11" s="702"/>
      <c r="F11" s="702"/>
      <c r="G11" s="702"/>
      <c r="H11" s="703"/>
      <c r="I11" s="107"/>
      <c r="Q11" s="135"/>
    </row>
    <row r="12" spans="1:17" ht="20.100000000000001" customHeight="1">
      <c r="A12" s="468" t="s">
        <v>23</v>
      </c>
      <c r="B12" s="368" t="s">
        <v>225</v>
      </c>
      <c r="C12" s="252"/>
      <c r="D12" s="252"/>
      <c r="E12" s="252"/>
      <c r="F12" s="252"/>
      <c r="G12" s="252"/>
      <c r="H12" s="252"/>
      <c r="I12" s="107"/>
      <c r="Q12" s="119"/>
    </row>
    <row r="13" spans="1:17" ht="20.100000000000001" customHeight="1">
      <c r="A13" s="468" t="s">
        <v>23</v>
      </c>
      <c r="B13" s="367" t="s">
        <v>226</v>
      </c>
      <c r="C13" s="253"/>
      <c r="D13" s="253"/>
      <c r="E13" s="253"/>
      <c r="F13" s="253"/>
      <c r="G13" s="253"/>
      <c r="H13" s="253"/>
      <c r="I13" s="107"/>
      <c r="Q13" s="135"/>
    </row>
    <row r="14" spans="1:17" ht="20.100000000000001" customHeight="1">
      <c r="A14" s="468" t="s">
        <v>23</v>
      </c>
      <c r="B14" s="367" t="s">
        <v>227</v>
      </c>
      <c r="C14" s="253"/>
      <c r="D14" s="253"/>
      <c r="E14" s="253"/>
      <c r="F14" s="253"/>
      <c r="G14" s="253"/>
      <c r="H14" s="253"/>
      <c r="I14" s="107"/>
      <c r="Q14" s="119"/>
    </row>
    <row r="15" spans="1:17" ht="20.100000000000001" customHeight="1">
      <c r="A15" s="468" t="s">
        <v>23</v>
      </c>
      <c r="B15" s="367" t="s">
        <v>228</v>
      </c>
      <c r="C15" s="253"/>
      <c r="D15" s="253"/>
      <c r="E15" s="253"/>
      <c r="F15" s="253"/>
      <c r="G15" s="253"/>
      <c r="H15" s="253"/>
      <c r="I15" s="107"/>
      <c r="Q15" s="135"/>
    </row>
    <row r="16" spans="1:17" ht="20.100000000000001" customHeight="1">
      <c r="A16" s="467"/>
      <c r="B16" s="367" t="s">
        <v>229</v>
      </c>
      <c r="C16" s="137">
        <f t="shared" ref="C16:H16" si="1">(C14*C13)-C15</f>
        <v>0</v>
      </c>
      <c r="D16" s="137">
        <f t="shared" si="1"/>
        <v>0</v>
      </c>
      <c r="E16" s="137">
        <f t="shared" si="1"/>
        <v>0</v>
      </c>
      <c r="F16" s="137">
        <f t="shared" si="1"/>
        <v>0</v>
      </c>
      <c r="G16" s="137">
        <f t="shared" si="1"/>
        <v>0</v>
      </c>
      <c r="H16" s="137">
        <f t="shared" si="1"/>
        <v>0</v>
      </c>
      <c r="I16" s="107"/>
      <c r="Q16" s="119"/>
    </row>
    <row r="17" spans="1:17" ht="20.100000000000001" customHeight="1" thickBot="1">
      <c r="A17" s="468" t="s">
        <v>23</v>
      </c>
      <c r="B17" s="367" t="s">
        <v>230</v>
      </c>
      <c r="C17" s="254"/>
      <c r="D17" s="254"/>
      <c r="E17" s="254"/>
      <c r="F17" s="254"/>
      <c r="G17" s="254"/>
      <c r="H17" s="254"/>
      <c r="I17" s="107"/>
      <c r="Q17" s="135"/>
    </row>
    <row r="18" spans="1:17" ht="20.100000000000001" customHeight="1">
      <c r="A18" s="704" t="s">
        <v>303</v>
      </c>
      <c r="B18" s="134" t="s">
        <v>32</v>
      </c>
      <c r="C18" s="255"/>
      <c r="D18" s="255"/>
      <c r="E18" s="255"/>
      <c r="F18" s="255"/>
      <c r="G18" s="255"/>
      <c r="H18" s="255"/>
      <c r="I18" s="107"/>
      <c r="Q18" s="135"/>
    </row>
    <row r="19" spans="1:17" ht="20.100000000000001" customHeight="1" thickBot="1">
      <c r="A19" s="705"/>
      <c r="B19" s="133" t="s">
        <v>33</v>
      </c>
      <c r="C19" s="256"/>
      <c r="D19" s="256"/>
      <c r="E19" s="256"/>
      <c r="F19" s="256"/>
      <c r="G19" s="256"/>
      <c r="H19" s="256"/>
      <c r="I19" s="107"/>
      <c r="Q19" s="135"/>
    </row>
    <row r="20" spans="1:17" ht="20.100000000000001" customHeight="1">
      <c r="A20" s="705"/>
      <c r="B20" s="134" t="s">
        <v>32</v>
      </c>
      <c r="C20" s="255"/>
      <c r="D20" s="255"/>
      <c r="E20" s="255"/>
      <c r="F20" s="255"/>
      <c r="G20" s="255"/>
      <c r="H20" s="255"/>
      <c r="I20" s="107"/>
      <c r="Q20" s="119"/>
    </row>
    <row r="21" spans="1:17" ht="20.100000000000001" customHeight="1" thickBot="1">
      <c r="A21" s="705"/>
      <c r="B21" s="133" t="s">
        <v>33</v>
      </c>
      <c r="C21" s="256"/>
      <c r="D21" s="256"/>
      <c r="E21" s="256"/>
      <c r="F21" s="256"/>
      <c r="G21" s="256"/>
      <c r="H21" s="256"/>
      <c r="I21" s="107"/>
      <c r="Q21" s="53"/>
    </row>
    <row r="22" spans="1:17" ht="20.100000000000001" customHeight="1">
      <c r="A22" s="705"/>
      <c r="B22" s="134" t="s">
        <v>32</v>
      </c>
      <c r="C22" s="255"/>
      <c r="D22" s="255"/>
      <c r="E22" s="255"/>
      <c r="F22" s="255"/>
      <c r="G22" s="255"/>
      <c r="H22" s="255"/>
      <c r="I22" s="107"/>
      <c r="Q22" s="119"/>
    </row>
    <row r="23" spans="1:17" ht="20.100000000000001" customHeight="1" thickBot="1">
      <c r="A23" s="705"/>
      <c r="B23" s="133" t="s">
        <v>33</v>
      </c>
      <c r="C23" s="256"/>
      <c r="D23" s="256"/>
      <c r="E23" s="256"/>
      <c r="F23" s="256"/>
      <c r="G23" s="256"/>
      <c r="H23" s="256"/>
      <c r="I23" s="107"/>
      <c r="Q23" s="111"/>
    </row>
    <row r="24" spans="1:17" ht="53.1" customHeight="1" thickBot="1">
      <c r="A24" s="706"/>
      <c r="B24" s="132" t="s">
        <v>35</v>
      </c>
      <c r="C24" s="131">
        <f t="shared" ref="C24:H24" si="2">C18+C20+C22</f>
        <v>0</v>
      </c>
      <c r="D24" s="131">
        <f t="shared" si="2"/>
        <v>0</v>
      </c>
      <c r="E24" s="131">
        <f t="shared" si="2"/>
        <v>0</v>
      </c>
      <c r="F24" s="131">
        <f t="shared" si="2"/>
        <v>0</v>
      </c>
      <c r="G24" s="131">
        <f t="shared" si="2"/>
        <v>0</v>
      </c>
      <c r="H24" s="131">
        <f t="shared" si="2"/>
        <v>0</v>
      </c>
      <c r="I24" s="107"/>
      <c r="Q24" s="130"/>
    </row>
    <row r="25" spans="1:17" ht="20.100000000000001" customHeight="1">
      <c r="A25" s="405"/>
      <c r="B25" s="122" t="s">
        <v>281</v>
      </c>
      <c r="C25" s="126">
        <f t="shared" ref="C25:H25" si="3">IF(C7="NON",C12*((C13*C14)-C15)*C17,((C18*C19)+(C20*C21)+(C22*C23))*C16)</f>
        <v>0</v>
      </c>
      <c r="D25" s="126">
        <f t="shared" si="3"/>
        <v>0</v>
      </c>
      <c r="E25" s="126">
        <f t="shared" si="3"/>
        <v>0</v>
      </c>
      <c r="F25" s="126">
        <f t="shared" si="3"/>
        <v>0</v>
      </c>
      <c r="G25" s="126">
        <f t="shared" si="3"/>
        <v>0</v>
      </c>
      <c r="H25" s="126">
        <f t="shared" si="3"/>
        <v>0</v>
      </c>
      <c r="I25" s="107"/>
      <c r="Q25" s="129"/>
    </row>
    <row r="26" spans="1:17" ht="20.100000000000001" customHeight="1">
      <c r="A26" s="468" t="s">
        <v>23</v>
      </c>
      <c r="B26" s="122" t="s">
        <v>282</v>
      </c>
      <c r="C26" s="210"/>
      <c r="D26" s="210"/>
      <c r="E26" s="210"/>
      <c r="F26" s="210"/>
      <c r="G26" s="210"/>
      <c r="H26" s="210"/>
      <c r="I26" s="107"/>
      <c r="Q26" s="124"/>
    </row>
    <row r="27" spans="1:17" ht="20.100000000000001" customHeight="1">
      <c r="A27" s="405"/>
      <c r="B27" s="128" t="s">
        <v>239</v>
      </c>
      <c r="C27" s="127" t="e">
        <f t="shared" ref="C27:H27" si="4">C26/C12/C16</f>
        <v>#DIV/0!</v>
      </c>
      <c r="D27" s="127" t="e">
        <f t="shared" si="4"/>
        <v>#DIV/0!</v>
      </c>
      <c r="E27" s="127" t="e">
        <f t="shared" si="4"/>
        <v>#DIV/0!</v>
      </c>
      <c r="F27" s="127" t="e">
        <f t="shared" si="4"/>
        <v>#DIV/0!</v>
      </c>
      <c r="G27" s="127" t="e">
        <f t="shared" si="4"/>
        <v>#DIV/0!</v>
      </c>
      <c r="H27" s="127" t="e">
        <f t="shared" si="4"/>
        <v>#DIV/0!</v>
      </c>
      <c r="I27" s="107"/>
      <c r="Q27" s="124"/>
    </row>
    <row r="28" spans="1:17" ht="35.1" customHeight="1">
      <c r="A28" s="405"/>
      <c r="B28" s="125" t="s">
        <v>31</v>
      </c>
      <c r="C28" s="126">
        <f t="shared" ref="C28:H28" si="5">MIN(C25,C26)</f>
        <v>0</v>
      </c>
      <c r="D28" s="126">
        <f t="shared" si="5"/>
        <v>0</v>
      </c>
      <c r="E28" s="126">
        <f t="shared" si="5"/>
        <v>0</v>
      </c>
      <c r="F28" s="126">
        <f t="shared" si="5"/>
        <v>0</v>
      </c>
      <c r="G28" s="126">
        <f t="shared" si="5"/>
        <v>0</v>
      </c>
      <c r="H28" s="126">
        <f t="shared" si="5"/>
        <v>0</v>
      </c>
      <c r="I28" s="107"/>
      <c r="Q28" s="124"/>
    </row>
    <row r="29" spans="1:17" ht="20.100000000000001" customHeight="1">
      <c r="A29" s="468" t="s">
        <v>23</v>
      </c>
      <c r="B29" s="125" t="s">
        <v>289</v>
      </c>
      <c r="C29" s="211">
        <v>1</v>
      </c>
      <c r="D29" s="211"/>
      <c r="E29" s="211"/>
      <c r="F29" s="211"/>
      <c r="G29" s="211"/>
      <c r="H29" s="211"/>
      <c r="I29" s="107"/>
      <c r="Q29" s="124"/>
    </row>
    <row r="30" spans="1:17" ht="20.100000000000001" customHeight="1">
      <c r="A30" s="405"/>
      <c r="B30" s="122" t="s">
        <v>283</v>
      </c>
      <c r="C30" s="4">
        <f t="shared" ref="C30:H30" si="6">IF(ISERROR(C26/C25),0,C26/C25)</f>
        <v>0</v>
      </c>
      <c r="D30" s="4">
        <f t="shared" si="6"/>
        <v>0</v>
      </c>
      <c r="E30" s="4">
        <f t="shared" si="6"/>
        <v>0</v>
      </c>
      <c r="F30" s="4">
        <f t="shared" si="6"/>
        <v>0</v>
      </c>
      <c r="G30" s="4">
        <f t="shared" si="6"/>
        <v>0</v>
      </c>
      <c r="H30" s="4">
        <f t="shared" si="6"/>
        <v>0</v>
      </c>
      <c r="I30" s="107"/>
      <c r="Q30" s="124"/>
    </row>
    <row r="31" spans="1:17" ht="20.100000000000001" customHeight="1">
      <c r="A31" s="468" t="s">
        <v>23</v>
      </c>
      <c r="B31" s="122" t="s">
        <v>284</v>
      </c>
      <c r="C31" s="210"/>
      <c r="D31" s="210"/>
      <c r="E31" s="210"/>
      <c r="F31" s="210"/>
      <c r="G31" s="210"/>
      <c r="H31" s="210"/>
      <c r="I31" s="107"/>
      <c r="Q31" s="53"/>
    </row>
    <row r="32" spans="1:17" ht="20.100000000000001" customHeight="1">
      <c r="A32" s="405"/>
      <c r="B32" s="6" t="s">
        <v>285</v>
      </c>
      <c r="C32" s="4">
        <f t="shared" ref="C32:H32" si="7">IF(ISERROR(C26/C31),0,C26/C31)</f>
        <v>0</v>
      </c>
      <c r="D32" s="4">
        <f t="shared" si="7"/>
        <v>0</v>
      </c>
      <c r="E32" s="4">
        <f t="shared" si="7"/>
        <v>0</v>
      </c>
      <c r="F32" s="4">
        <f t="shared" si="7"/>
        <v>0</v>
      </c>
      <c r="G32" s="4">
        <f t="shared" si="7"/>
        <v>0</v>
      </c>
      <c r="H32" s="4">
        <f t="shared" si="7"/>
        <v>0</v>
      </c>
      <c r="I32" s="107"/>
      <c r="Q32" s="119"/>
    </row>
    <row r="33" spans="1:17" ht="20.100000000000001" customHeight="1">
      <c r="A33" s="405"/>
      <c r="B33" s="122" t="s">
        <v>287</v>
      </c>
      <c r="C33" s="123">
        <f t="shared" ref="C33:H33" si="8">IF(ISERROR(C31/C25),0,C31/C25)</f>
        <v>0</v>
      </c>
      <c r="D33" s="123">
        <f t="shared" si="8"/>
        <v>0</v>
      </c>
      <c r="E33" s="123">
        <f t="shared" si="8"/>
        <v>0</v>
      </c>
      <c r="F33" s="123">
        <f t="shared" si="8"/>
        <v>0</v>
      </c>
      <c r="G33" s="123">
        <f t="shared" si="8"/>
        <v>0</v>
      </c>
      <c r="H33" s="123">
        <f t="shared" si="8"/>
        <v>0</v>
      </c>
      <c r="I33" s="107"/>
      <c r="Q33" s="119"/>
    </row>
    <row r="34" spans="1:17" ht="20.100000000000001" customHeight="1">
      <c r="A34" s="405"/>
      <c r="B34" s="5" t="s">
        <v>290</v>
      </c>
      <c r="C34" s="126">
        <f>C12*6</f>
        <v>0</v>
      </c>
      <c r="D34" s="126">
        <f t="shared" ref="D34:H34" si="9">D12*6</f>
        <v>0</v>
      </c>
      <c r="E34" s="126">
        <f t="shared" si="9"/>
        <v>0</v>
      </c>
      <c r="F34" s="126">
        <f t="shared" si="9"/>
        <v>0</v>
      </c>
      <c r="G34" s="126">
        <f t="shared" si="9"/>
        <v>0</v>
      </c>
      <c r="H34" s="126">
        <f t="shared" si="9"/>
        <v>0</v>
      </c>
      <c r="I34" s="107"/>
      <c r="Q34" s="119"/>
    </row>
    <row r="35" spans="1:17" ht="20.100000000000001" customHeight="1">
      <c r="A35" s="405"/>
      <c r="B35" s="122" t="s">
        <v>286</v>
      </c>
      <c r="C35" s="121">
        <f t="shared" ref="C35:H35" si="10">IF(ISERROR(C94/C31),0,C94/C31)</f>
        <v>0</v>
      </c>
      <c r="D35" s="121">
        <f t="shared" si="10"/>
        <v>0</v>
      </c>
      <c r="E35" s="121">
        <f t="shared" si="10"/>
        <v>0</v>
      </c>
      <c r="F35" s="121">
        <f t="shared" si="10"/>
        <v>0</v>
      </c>
      <c r="G35" s="121">
        <f t="shared" si="10"/>
        <v>0</v>
      </c>
      <c r="H35" s="121">
        <f t="shared" si="10"/>
        <v>0</v>
      </c>
      <c r="I35" s="107"/>
      <c r="Q35" s="53"/>
    </row>
    <row r="36" spans="1:17" ht="31.5" thickBot="1">
      <c r="A36" s="405"/>
      <c r="B36" s="120" t="s">
        <v>280</v>
      </c>
      <c r="C36" s="7" t="e">
        <f>IF(C6="OUI",VLOOKUP(MATCH(C32,'0-ACCUEIL &amp; PARAMETRES'!$D18:$D20),'0-ACCUEIL &amp; PARAMETRES'!$E$19:$N$21,C8,0),VLOOKUP(MATCH(C32,'0-ACCUEIL &amp; PARAMETRES'!$D18:$D20),'0-ACCUEIL &amp; PARAMETRES'!$E$22:$N$24,C8,0))</f>
        <v>#N/A</v>
      </c>
      <c r="D36" s="7" t="e">
        <f>IF(D6="OUI",VLOOKUP(MATCH(D32,'0-ACCUEIL &amp; PARAMETRES'!$D18:$D20),'0-ACCUEIL &amp; PARAMETRES'!$E$19:$N$21,D8,0),VLOOKUP(MATCH(D32,'0-ACCUEIL &amp; PARAMETRES'!$D18:$D20),'0-ACCUEIL &amp; PARAMETRES'!$E$22:$N$24,D8,0))</f>
        <v>#N/A</v>
      </c>
      <c r="E36" s="7" t="e">
        <f>IF(E6="OUI",VLOOKUP(MATCH(E32,'0-ACCUEIL &amp; PARAMETRES'!$D18:$D20),'0-ACCUEIL &amp; PARAMETRES'!$E$19:$N$21,E8,0),VLOOKUP(MATCH(E32,'0-ACCUEIL &amp; PARAMETRES'!$D18:$D20),'0-ACCUEIL &amp; PARAMETRES'!$E$22:$N$24,E8,0))</f>
        <v>#N/A</v>
      </c>
      <c r="F36" s="7" t="e">
        <f>IF(F6="OUI",VLOOKUP(MATCH(F32,'0-ACCUEIL &amp; PARAMETRES'!$D18:$D20),'0-ACCUEIL &amp; PARAMETRES'!$E$19:$N$21,F8,0),VLOOKUP(MATCH(F32,'0-ACCUEIL &amp; PARAMETRES'!$D18:$D20),'0-ACCUEIL &amp; PARAMETRES'!$E$22:$N$24,F8,0))</f>
        <v>#N/A</v>
      </c>
      <c r="G36" s="7" t="e">
        <f>IF(G6="OUI",VLOOKUP(MATCH(G32,'0-ACCUEIL &amp; PARAMETRES'!$D18:$D20),'0-ACCUEIL &amp; PARAMETRES'!$E$19:$N$21,G8,0),VLOOKUP(MATCH(G32,'0-ACCUEIL &amp; PARAMETRES'!$D18:$D20),'0-ACCUEIL &amp; PARAMETRES'!$E$22:$N$24,G8,0))</f>
        <v>#N/A</v>
      </c>
      <c r="H36" s="7" t="e">
        <f>IF(H6="OUI",VLOOKUP(MATCH(H32,'0-ACCUEIL &amp; PARAMETRES'!$D18:$D20),'0-ACCUEIL &amp; PARAMETRES'!$E$19:$N$21,H8,0),VLOOKUP(MATCH(H32,'0-ACCUEIL &amp; PARAMETRES'!$D18:$D20),'0-ACCUEIL &amp; PARAMETRES'!$E$22:$N$24,H8,0))</f>
        <v>#N/A</v>
      </c>
      <c r="I36" s="107"/>
      <c r="Q36" s="119"/>
    </row>
    <row r="37" spans="1:17">
      <c r="B37" s="118" t="s">
        <v>29</v>
      </c>
      <c r="C37" s="117" t="e">
        <f t="shared" ref="C37:H37" si="11">ROUND(C36*0.66,2)</f>
        <v>#N/A</v>
      </c>
      <c r="D37" s="117" t="e">
        <f t="shared" si="11"/>
        <v>#N/A</v>
      </c>
      <c r="E37" s="117" t="e">
        <f t="shared" si="11"/>
        <v>#N/A</v>
      </c>
      <c r="F37" s="117" t="e">
        <f t="shared" si="11"/>
        <v>#N/A</v>
      </c>
      <c r="G37" s="117" t="e">
        <f t="shared" si="11"/>
        <v>#N/A</v>
      </c>
      <c r="H37" s="117" t="e">
        <f t="shared" si="11"/>
        <v>#N/A</v>
      </c>
      <c r="Q37" s="68"/>
    </row>
    <row r="38" spans="1:17">
      <c r="I38" s="51"/>
    </row>
    <row r="39" spans="1:17" ht="13.5" thickBot="1">
      <c r="I39" s="51"/>
    </row>
    <row r="40" spans="1:17" ht="20.100000000000001" customHeight="1" thickBot="1">
      <c r="A40" s="404"/>
      <c r="B40" s="410" t="s">
        <v>234</v>
      </c>
      <c r="C40" s="201"/>
      <c r="D40" s="201"/>
      <c r="E40" s="201"/>
      <c r="F40" s="201"/>
      <c r="G40" s="201"/>
      <c r="H40" s="201"/>
      <c r="I40" s="51"/>
    </row>
    <row r="41" spans="1:17" ht="20.100000000000001" customHeight="1">
      <c r="A41" s="404"/>
      <c r="B41" s="217" t="s">
        <v>108</v>
      </c>
      <c r="C41" s="493">
        <v>25000</v>
      </c>
      <c r="D41" s="493"/>
      <c r="E41" s="493"/>
      <c r="F41" s="493"/>
      <c r="G41" s="493"/>
      <c r="H41" s="493"/>
      <c r="I41" s="107"/>
    </row>
    <row r="42" spans="1:17" ht="20.100000000000001" customHeight="1">
      <c r="A42" s="404"/>
      <c r="B42" s="218" t="s">
        <v>109</v>
      </c>
      <c r="C42" s="206">
        <f t="shared" ref="C42:H42" si="12">IF(ISERROR(C41/C26),0,C41/C26)</f>
        <v>0</v>
      </c>
      <c r="D42" s="206">
        <f t="shared" si="12"/>
        <v>0</v>
      </c>
      <c r="E42" s="206">
        <f t="shared" si="12"/>
        <v>0</v>
      </c>
      <c r="F42" s="206">
        <f t="shared" si="12"/>
        <v>0</v>
      </c>
      <c r="G42" s="206">
        <f t="shared" si="12"/>
        <v>0</v>
      </c>
      <c r="H42" s="206">
        <f t="shared" si="12"/>
        <v>0</v>
      </c>
      <c r="I42" s="107"/>
    </row>
    <row r="43" spans="1:17" ht="20.100000000000001" customHeight="1" thickBot="1">
      <c r="A43" s="404"/>
      <c r="B43" s="414" t="s">
        <v>128</v>
      </c>
      <c r="C43" s="415">
        <f>IF(C42=0,0,IF(C42&lt;=HLOOKUP(C4,'0-ACCUEIL &amp; PARAMETRES'!$F$28:$N$35,2,0),HLOOKUP(C4,'0-ACCUEIL &amp; PARAMETRES'!$F$28:$N$35,3,0),IF(C42&lt;=HLOOKUP(C4,'0-ACCUEIL &amp; PARAMETRES'!$F$28:$N$35,4,0),HLOOKUP(C4,'0-ACCUEIL &amp; PARAMETRES'!$F$28:$N$35,5,0),IF(C42&lt;=HLOOKUP(C4,'0-ACCUEIL &amp; PARAMETRES'!$F$28:$N$35,6,0),HLOOKUP(C4,'0-ACCUEIL &amp; PARAMETRES'!$F$28:$N$35,7,0),0))))</f>
        <v>0</v>
      </c>
      <c r="D43" s="415">
        <f>IF(D42=0,0,IF(D42&lt;=HLOOKUP(D4,'0-ACCUEIL &amp; PARAMETRES'!$F$28:$N$35,2,0),HLOOKUP(D4,'0-ACCUEIL &amp; PARAMETRES'!$F$28:$N$35,3,0),IF(D42&lt;=HLOOKUP(D4,'0-ACCUEIL &amp; PARAMETRES'!$F$28:$N$35,4,0),HLOOKUP(D4,'0-ACCUEIL &amp; PARAMETRES'!$F$28:$N$35,5,0),IF(D42&lt;=HLOOKUP(D4,'0-ACCUEIL &amp; PARAMETRES'!$F$28:$N$35,6,0),HLOOKUP(D4,'0-ACCUEIL &amp; PARAMETRES'!$F$28:$N$35,7,0),0))))</f>
        <v>0</v>
      </c>
      <c r="E43" s="415">
        <f>IF(E42=0,0,IF(E42&lt;=HLOOKUP(E4,'0-ACCUEIL &amp; PARAMETRES'!$F$28:$N$35,2,0),HLOOKUP(E4,'0-ACCUEIL &amp; PARAMETRES'!$F$28:$N$35,3,0),IF(E42&lt;=HLOOKUP(E4,'0-ACCUEIL &amp; PARAMETRES'!$F$28:$N$35,4,0),HLOOKUP(E4,'0-ACCUEIL &amp; PARAMETRES'!$F$28:$N$35,5,0),IF(E42&lt;=HLOOKUP(E4,'0-ACCUEIL &amp; PARAMETRES'!$F$28:$N$35,6,0),HLOOKUP(E4,'0-ACCUEIL &amp; PARAMETRES'!$F$28:$N$35,7,0),0))))</f>
        <v>0</v>
      </c>
      <c r="F43" s="415">
        <f>IF(F42=0,0,IF(F42&lt;=HLOOKUP(F4,'0-ACCUEIL &amp; PARAMETRES'!$F$28:$N$35,2,0),HLOOKUP(F4,'0-ACCUEIL &amp; PARAMETRES'!$F$28:$N$35,3,0),IF(F42&lt;=HLOOKUP(F4,'0-ACCUEIL &amp; PARAMETRES'!$F$28:$N$35,4,0),HLOOKUP(F4,'0-ACCUEIL &amp; PARAMETRES'!$F$28:$N$35,5,0),IF(F42&lt;=HLOOKUP(F4,'0-ACCUEIL &amp; PARAMETRES'!$F$28:$N$35,6,0),HLOOKUP(F4,'0-ACCUEIL &amp; PARAMETRES'!$F$28:$N$35,7,0),0))))</f>
        <v>0</v>
      </c>
      <c r="G43" s="415">
        <f>IF(G42=0,0,IF(G42&lt;=HLOOKUP(G4,'0-ACCUEIL &amp; PARAMETRES'!$F$28:$N$35,2,0),HLOOKUP(G4,'0-ACCUEIL &amp; PARAMETRES'!$F$28:$N$35,3,0),IF(G42&lt;=HLOOKUP(G4,'0-ACCUEIL &amp; PARAMETRES'!$F$28:$N$35,4,0),HLOOKUP(G4,'0-ACCUEIL &amp; PARAMETRES'!$F$28:$N$35,5,0),IF(G42&lt;=HLOOKUP(G4,'0-ACCUEIL &amp; PARAMETRES'!$F$28:$N$35,6,0),HLOOKUP(G4,'0-ACCUEIL &amp; PARAMETRES'!$F$28:$N$35,7,0),0))))</f>
        <v>0</v>
      </c>
      <c r="H43" s="415">
        <f>IF(H42=0,0,IF(H42&lt;=HLOOKUP(H4,'0-ACCUEIL &amp; PARAMETRES'!$F$28:$N$35,2,0),HLOOKUP(H4,'0-ACCUEIL &amp; PARAMETRES'!$F$28:$N$35,3,0),IF(H42&lt;=HLOOKUP(H4,'0-ACCUEIL &amp; PARAMETRES'!$F$28:$N$35,4,0),HLOOKUP(H4,'0-ACCUEIL &amp; PARAMETRES'!$F$28:$N$35,5,0),IF(H42&lt;=HLOOKUP(H4,'0-ACCUEIL &amp; PARAMETRES'!$F$28:$N$35,6,0),HLOOKUP(H4,'0-ACCUEIL &amp; PARAMETRES'!$F$28:$N$35,7,0),0))))</f>
        <v>0</v>
      </c>
      <c r="I43" s="107"/>
    </row>
    <row r="44" spans="1:17" ht="20.100000000000001" customHeight="1" thickBot="1">
      <c r="A44" s="404"/>
      <c r="B44" s="412" t="s">
        <v>264</v>
      </c>
      <c r="C44" s="416">
        <f t="shared" ref="C44:H44" si="13">C12*C43</f>
        <v>0</v>
      </c>
      <c r="D44" s="416">
        <f t="shared" si="13"/>
        <v>0</v>
      </c>
      <c r="E44" s="416">
        <f t="shared" si="13"/>
        <v>0</v>
      </c>
      <c r="F44" s="416">
        <f t="shared" si="13"/>
        <v>0</v>
      </c>
      <c r="G44" s="416">
        <f t="shared" si="13"/>
        <v>0</v>
      </c>
      <c r="H44" s="417">
        <f t="shared" si="13"/>
        <v>0</v>
      </c>
      <c r="I44" s="277"/>
    </row>
    <row r="45" spans="1:17" ht="15.95" customHeight="1">
      <c r="A45" s="404"/>
      <c r="B45" s="203"/>
      <c r="C45" s="202"/>
      <c r="D45" s="202"/>
      <c r="E45" s="202"/>
      <c r="F45" s="202"/>
      <c r="G45" s="202"/>
      <c r="H45" s="202"/>
      <c r="I45" s="51"/>
    </row>
    <row r="46" spans="1:17" ht="15.95" customHeight="1" thickBot="1">
      <c r="A46" s="404"/>
      <c r="B46" s="201"/>
      <c r="C46" s="201"/>
      <c r="D46" s="201"/>
      <c r="E46" s="201"/>
      <c r="F46" s="201"/>
      <c r="G46" s="201"/>
      <c r="H46" s="201"/>
      <c r="I46" s="51"/>
    </row>
    <row r="47" spans="1:17" ht="20.100000000000001" customHeight="1" thickBot="1">
      <c r="A47" s="404"/>
      <c r="B47" s="410" t="s">
        <v>233</v>
      </c>
      <c r="C47" s="204"/>
      <c r="D47" s="204"/>
      <c r="E47" s="204"/>
      <c r="F47" s="204"/>
      <c r="G47" s="204"/>
      <c r="H47" s="204"/>
      <c r="I47" s="51"/>
    </row>
    <row r="48" spans="1:17" ht="20.100000000000001" customHeight="1">
      <c r="A48" s="469" t="s">
        <v>23</v>
      </c>
      <c r="B48" s="215" t="s">
        <v>236</v>
      </c>
      <c r="C48" s="259"/>
      <c r="D48" s="259"/>
      <c r="E48" s="259"/>
      <c r="F48" s="259"/>
      <c r="G48" s="259"/>
      <c r="H48" s="259"/>
      <c r="I48" s="107"/>
    </row>
    <row r="49" spans="1:9" ht="20.100000000000001" customHeight="1">
      <c r="A49" s="469" t="s">
        <v>23</v>
      </c>
      <c r="B49" s="216" t="s">
        <v>237</v>
      </c>
      <c r="C49" s="260"/>
      <c r="D49" s="260"/>
      <c r="E49" s="260"/>
      <c r="F49" s="260"/>
      <c r="G49" s="260"/>
      <c r="H49" s="260"/>
      <c r="I49" s="107"/>
    </row>
    <row r="50" spans="1:9" ht="20.100000000000001" customHeight="1">
      <c r="A50" s="404"/>
      <c r="B50" s="213" t="s">
        <v>238</v>
      </c>
      <c r="C50" s="219">
        <f>IF(ISBLANK(C49),0,C49/C48)</f>
        <v>0</v>
      </c>
      <c r="D50" s="219">
        <f t="shared" ref="D50:H50" si="14">IF(ISBLANK(D49),0,D49/D48)</f>
        <v>0</v>
      </c>
      <c r="E50" s="219">
        <f t="shared" si="14"/>
        <v>0</v>
      </c>
      <c r="F50" s="219">
        <f t="shared" si="14"/>
        <v>0</v>
      </c>
      <c r="G50" s="219">
        <f t="shared" si="14"/>
        <v>0</v>
      </c>
      <c r="H50" s="219">
        <f t="shared" si="14"/>
        <v>0</v>
      </c>
      <c r="I50" s="107"/>
    </row>
    <row r="51" spans="1:9" ht="20.100000000000001" customHeight="1">
      <c r="A51" s="404"/>
      <c r="B51" s="214" t="s">
        <v>114</v>
      </c>
      <c r="C51" s="220">
        <f>IF(ISBLANK(C49),0,VLOOKUP(MATCH(C50,'0-ACCUEIL &amp; PARAMETRES'!$D41:$D43),'0-ACCUEIL &amp; PARAMETRES'!$E41:$N43,C8,0))</f>
        <v>0</v>
      </c>
      <c r="D51" s="220">
        <f>IF(ISBLANK(D49),0,VLOOKUP(MATCH(D50,'0-ACCUEIL &amp; PARAMETRES'!$D41:$D43),'0-ACCUEIL &amp; PARAMETRES'!$E41:$N43,D8,0))</f>
        <v>0</v>
      </c>
      <c r="E51" s="220">
        <f>IF(ISBLANK(E49),0,VLOOKUP(MATCH(E50,'0-ACCUEIL &amp; PARAMETRES'!$D41:$D43),'0-ACCUEIL &amp; PARAMETRES'!$E41:$N43,E8,0))</f>
        <v>0</v>
      </c>
      <c r="F51" s="220">
        <f>IF(ISBLANK(F49),0,VLOOKUP(MATCH(F50,'0-ACCUEIL &amp; PARAMETRES'!$D41:$D43),'0-ACCUEIL &amp; PARAMETRES'!$E41:$N43,F8,0))</f>
        <v>0</v>
      </c>
      <c r="G51" s="220">
        <f>IF(ISBLANK(G49),0,VLOOKUP(MATCH(G50,'0-ACCUEIL &amp; PARAMETRES'!$D41:$D43),'0-ACCUEIL &amp; PARAMETRES'!$E41:$N43,G8,0))</f>
        <v>0</v>
      </c>
      <c r="H51" s="220">
        <f>IF(ISBLANK(H49),0,VLOOKUP(MATCH(H50,'0-ACCUEIL &amp; PARAMETRES'!$D41:$D43),'0-ACCUEIL &amp; PARAMETRES'!$E41:$N43,H8,0))</f>
        <v>0</v>
      </c>
      <c r="I51" s="107"/>
    </row>
    <row r="52" spans="1:9" ht="20.100000000000001" hidden="1" customHeight="1">
      <c r="A52" s="404"/>
      <c r="B52" s="214" t="s">
        <v>134</v>
      </c>
      <c r="C52" s="221" t="e">
        <f>VLOOKUP(MATCH(C50,'0-ACCUEIL &amp; PARAMETRES'!$D47:$D52),'0-ACCUEIL &amp; PARAMETRES'!$E47:$N52,C8,0)</f>
        <v>#N/A</v>
      </c>
      <c r="D52" s="221" t="e">
        <f>VLOOKUP(MATCH(D50,'0-ACCUEIL &amp; PARAMETRES'!$D47:$D52),'0-ACCUEIL &amp; PARAMETRES'!$E47:$N52,D8,0)</f>
        <v>#N/A</v>
      </c>
      <c r="E52" s="221" t="e">
        <f>VLOOKUP(MATCH(E50,'0-ACCUEIL &amp; PARAMETRES'!$D47:$D52),'0-ACCUEIL &amp; PARAMETRES'!$E47:$N52,E8,0)</f>
        <v>#N/A</v>
      </c>
      <c r="F52" s="221" t="e">
        <f>VLOOKUP(MATCH(F50,'0-ACCUEIL &amp; PARAMETRES'!$D47:$D52),'0-ACCUEIL &amp; PARAMETRES'!$E47:$N52,F8,0)</f>
        <v>#N/A</v>
      </c>
      <c r="G52" s="221" t="e">
        <f>VLOOKUP(MATCH(G50,'0-ACCUEIL &amp; PARAMETRES'!$D47:$D52),'0-ACCUEIL &amp; PARAMETRES'!$E47:$N52,G8,0)</f>
        <v>#N/A</v>
      </c>
      <c r="H52" s="221" t="e">
        <f>VLOOKUP(MATCH(H50,'0-ACCUEIL &amp; PARAMETRES'!$D47:$D52),'0-ACCUEIL &amp; PARAMETRES'!$E47:$N52,H8,0)</f>
        <v>#N/A</v>
      </c>
      <c r="I52" s="107"/>
    </row>
    <row r="53" spans="1:9" ht="20.100000000000001" hidden="1" customHeight="1">
      <c r="A53" s="404"/>
      <c r="B53" s="214" t="s">
        <v>135</v>
      </c>
      <c r="C53" s="221" t="e">
        <f>VLOOKUP(MATCH(C50,'0-ACCUEIL &amp; PARAMETRES'!$D47:$D52)+1,'0-ACCUEIL &amp; PARAMETRES'!$E47:$N52,C8,0)</f>
        <v>#N/A</v>
      </c>
      <c r="D53" s="221" t="e">
        <f>VLOOKUP(MATCH(D50,'0-ACCUEIL &amp; PARAMETRES'!$D47:$D52)+1,'0-ACCUEIL &amp; PARAMETRES'!$E47:$N52,D8,0)</f>
        <v>#N/A</v>
      </c>
      <c r="E53" s="221" t="e">
        <f>VLOOKUP(MATCH(E50,'0-ACCUEIL &amp; PARAMETRES'!$D47:$D52)+1,'0-ACCUEIL &amp; PARAMETRES'!$E47:$N52,E8,0)</f>
        <v>#N/A</v>
      </c>
      <c r="F53" s="221" t="e">
        <f>VLOOKUP(MATCH(F50,'0-ACCUEIL &amp; PARAMETRES'!$D47:$D52)+1,'0-ACCUEIL &amp; PARAMETRES'!$E47:$N52,F8,0)</f>
        <v>#N/A</v>
      </c>
      <c r="G53" s="221" t="e">
        <f>VLOOKUP(MATCH(G50,'0-ACCUEIL &amp; PARAMETRES'!$D47:$D52)+1,'0-ACCUEIL &amp; PARAMETRES'!$E47:$N52,G8,0)</f>
        <v>#N/A</v>
      </c>
      <c r="H53" s="221" t="e">
        <f>VLOOKUP(MATCH(H50,'0-ACCUEIL &amp; PARAMETRES'!$D47:$D52)+1,'0-ACCUEIL &amp; PARAMETRES'!$E47:$N52,H8,0)</f>
        <v>#N/A</v>
      </c>
      <c r="I53" s="107"/>
    </row>
    <row r="54" spans="1:9" ht="20.100000000000001" customHeight="1">
      <c r="A54" s="404"/>
      <c r="B54" s="214" t="s">
        <v>231</v>
      </c>
      <c r="C54" s="221">
        <f>IF(ISBLANK(C49),0,C52+(C50*C53))</f>
        <v>0</v>
      </c>
      <c r="D54" s="221">
        <f t="shared" ref="D54:H54" si="15">IF(ISBLANK(D49),0,D52+(D50*D53))</f>
        <v>0</v>
      </c>
      <c r="E54" s="221">
        <f t="shared" si="15"/>
        <v>0</v>
      </c>
      <c r="F54" s="221">
        <f t="shared" si="15"/>
        <v>0</v>
      </c>
      <c r="G54" s="221">
        <f t="shared" si="15"/>
        <v>0</v>
      </c>
      <c r="H54" s="221">
        <f t="shared" si="15"/>
        <v>0</v>
      </c>
      <c r="I54" s="107"/>
    </row>
    <row r="55" spans="1:9" ht="20.100000000000001" customHeight="1">
      <c r="A55" s="404"/>
      <c r="B55" s="213" t="s">
        <v>232</v>
      </c>
      <c r="C55" s="221">
        <f t="shared" ref="C55:H55" si="16">IF(ISBLANK(C49),0,C94/C12)</f>
        <v>0</v>
      </c>
      <c r="D55" s="221">
        <f t="shared" si="16"/>
        <v>0</v>
      </c>
      <c r="E55" s="221">
        <f t="shared" si="16"/>
        <v>0</v>
      </c>
      <c r="F55" s="221">
        <f t="shared" si="16"/>
        <v>0</v>
      </c>
      <c r="G55" s="221">
        <f t="shared" si="16"/>
        <v>0</v>
      </c>
      <c r="H55" s="221">
        <f t="shared" si="16"/>
        <v>0</v>
      </c>
      <c r="I55" s="107"/>
    </row>
    <row r="56" spans="1:9" ht="20.100000000000001" customHeight="1">
      <c r="A56" s="404"/>
      <c r="B56" s="213" t="s">
        <v>136</v>
      </c>
      <c r="C56" s="221" t="e">
        <f>+INDEX('0-ACCUEIL &amp; PARAMETRES'!$F44:$N44,C8-1)</f>
        <v>#N/A</v>
      </c>
      <c r="D56" s="221" t="e">
        <f>+INDEX('0-ACCUEIL &amp; PARAMETRES'!$F44:$N44,D8-1)</f>
        <v>#N/A</v>
      </c>
      <c r="E56" s="221" t="e">
        <f>+INDEX('0-ACCUEIL &amp; PARAMETRES'!$F44:$N44,E8-1)</f>
        <v>#N/A</v>
      </c>
      <c r="F56" s="221" t="e">
        <f>+INDEX('0-ACCUEIL &amp; PARAMETRES'!$F44:$N44,F8-1)</f>
        <v>#N/A</v>
      </c>
      <c r="G56" s="221" t="e">
        <f>+INDEX('0-ACCUEIL &amp; PARAMETRES'!$F44:$N44,G8-1)</f>
        <v>#N/A</v>
      </c>
      <c r="H56" s="221" t="e">
        <f>+INDEX('0-ACCUEIL &amp; PARAMETRES'!$F44:$N44,H8-1)</f>
        <v>#N/A</v>
      </c>
      <c r="I56" s="107"/>
    </row>
    <row r="57" spans="1:9" ht="20.100000000000001" customHeight="1" thickBot="1">
      <c r="A57" s="404"/>
      <c r="B57" s="414" t="s">
        <v>128</v>
      </c>
      <c r="C57" s="415" t="e">
        <f>MIN(C50*C51*MIN(C55,C54),INDEX('0-ACCUEIL &amp; PARAMETRES'!$F44:$N44,C8-1))</f>
        <v>#N/A</v>
      </c>
      <c r="D57" s="415" t="e">
        <f>MIN(D50*D51*MIN(D55,D54),INDEX('0-ACCUEIL &amp; PARAMETRES'!$F44:$N44,D8-1))</f>
        <v>#N/A</v>
      </c>
      <c r="E57" s="415" t="e">
        <f>MIN(E50*E51*MIN(E55,E54),INDEX('0-ACCUEIL &amp; PARAMETRES'!$F44:$N44,E8-1))</f>
        <v>#N/A</v>
      </c>
      <c r="F57" s="415" t="e">
        <f>MIN(F50*F51*MIN(F55,F54),INDEX('0-ACCUEIL &amp; PARAMETRES'!$F44:$N44,F8-1))</f>
        <v>#N/A</v>
      </c>
      <c r="G57" s="415" t="e">
        <f>MIN(G50*G51*MIN(G55,G54),INDEX('0-ACCUEIL &amp; PARAMETRES'!$F44:$N44,G8-1))</f>
        <v>#N/A</v>
      </c>
      <c r="H57" s="415" t="e">
        <f>MIN(H50*H51*MIN(H55,H54),INDEX('0-ACCUEIL &amp; PARAMETRES'!$F44:$N44,H8-1))</f>
        <v>#N/A</v>
      </c>
      <c r="I57" s="107"/>
    </row>
    <row r="58" spans="1:9" ht="20.100000000000001" customHeight="1" thickBot="1">
      <c r="A58" s="404"/>
      <c r="B58" s="412" t="s">
        <v>262</v>
      </c>
      <c r="C58" s="416" t="e">
        <f>MIN(C12*C50*C51*MIN(C55,C54),INDEX('0-ACCUEIL &amp; PARAMETRES'!$F44:$N44,C8-1)*C12)</f>
        <v>#N/A</v>
      </c>
      <c r="D58" s="416" t="e">
        <f>MIN(D12*D50*D51*MIN(D55,D54),INDEX('0-ACCUEIL &amp; PARAMETRES'!$F44:$N44,D8-1)*D12)</f>
        <v>#N/A</v>
      </c>
      <c r="E58" s="416" t="e">
        <f>MIN(E12*E50*E51*MIN(E55,E54),INDEX('0-ACCUEIL &amp; PARAMETRES'!$F44:$N44,E8-1)*E12)</f>
        <v>#N/A</v>
      </c>
      <c r="F58" s="416" t="e">
        <f>MIN(F12*F50*F51*MIN(F55,F54),INDEX('0-ACCUEIL &amp; PARAMETRES'!$F44:$N44,F8-1)*F12)</f>
        <v>#N/A</v>
      </c>
      <c r="G58" s="416" t="e">
        <f>MIN(G12*G50*G51*MIN(G55,G54),INDEX('0-ACCUEIL &amp; PARAMETRES'!$F44:$N44,G8-1)*G12)</f>
        <v>#N/A</v>
      </c>
      <c r="H58" s="417" t="e">
        <f>MIN(H12*H50*H51*MIN(H55,H54),INDEX('0-ACCUEIL &amp; PARAMETRES'!$F44:$N44,H8-1)*H12)</f>
        <v>#N/A</v>
      </c>
      <c r="I58" s="277"/>
    </row>
    <row r="59" spans="1:9" ht="15.95" customHeight="1">
      <c r="A59" s="404"/>
      <c r="B59" s="201"/>
      <c r="C59" s="201"/>
      <c r="D59" s="201"/>
      <c r="E59" s="201"/>
      <c r="F59" s="201"/>
      <c r="G59" s="201"/>
      <c r="H59" s="201"/>
      <c r="I59" s="51"/>
    </row>
    <row r="60" spans="1:9" ht="15.95" customHeight="1" thickBot="1">
      <c r="A60" s="404"/>
      <c r="B60" s="205"/>
      <c r="C60" s="201"/>
      <c r="D60" s="201"/>
      <c r="E60" s="201"/>
      <c r="F60" s="201"/>
      <c r="G60" s="201"/>
      <c r="H60" s="201"/>
      <c r="I60" s="51"/>
    </row>
    <row r="61" spans="1:9" ht="20.100000000000001" customHeight="1" thickBot="1">
      <c r="A61" s="404"/>
      <c r="B61" s="410" t="s">
        <v>235</v>
      </c>
      <c r="C61" s="201"/>
      <c r="D61" s="201"/>
      <c r="E61" s="201"/>
      <c r="F61" s="201"/>
      <c r="G61" s="201"/>
      <c r="H61" s="201"/>
      <c r="I61" s="51"/>
    </row>
    <row r="62" spans="1:9" ht="30" customHeight="1">
      <c r="A62" s="707" t="s">
        <v>305</v>
      </c>
      <c r="B62" s="247" t="s">
        <v>269</v>
      </c>
      <c r="C62" s="208" t="s">
        <v>28</v>
      </c>
      <c r="D62" s="208" t="s">
        <v>28</v>
      </c>
      <c r="E62" s="208" t="s">
        <v>28</v>
      </c>
      <c r="F62" s="208" t="s">
        <v>28</v>
      </c>
      <c r="G62" s="208" t="s">
        <v>28</v>
      </c>
      <c r="H62" s="208" t="s">
        <v>28</v>
      </c>
      <c r="I62" s="107"/>
    </row>
    <row r="63" spans="1:9" ht="36" customHeight="1" thickBot="1">
      <c r="A63" s="708"/>
      <c r="B63" s="278" t="s">
        <v>273</v>
      </c>
      <c r="C63" s="249">
        <f>IF(C62="OUI",INDEX('0-ACCUEIL &amp; PARAMETRES'!$F60:$N60,C8-1),0)</f>
        <v>0</v>
      </c>
      <c r="D63" s="249">
        <f>IF(D62="OUI",INDEX('0-ACCUEIL &amp; PARAMETRES'!$F60:$N60,D8-1),0)</f>
        <v>0</v>
      </c>
      <c r="E63" s="249">
        <f>IF(E62="OUI",INDEX('0-ACCUEIL &amp; PARAMETRES'!$F60:$N60,E8-1),0)</f>
        <v>0</v>
      </c>
      <c r="F63" s="249">
        <f>IF(F62="OUI",INDEX('0-ACCUEIL &amp; PARAMETRES'!$F60:$N60,F8-1),0)</f>
        <v>0</v>
      </c>
      <c r="G63" s="249">
        <f>IF(G62="OUI",INDEX('0-ACCUEIL &amp; PARAMETRES'!$F60:$N60,G8-1),0)</f>
        <v>0</v>
      </c>
      <c r="H63" s="249">
        <f>IF(H62="OUI",INDEX('0-ACCUEIL &amp; PARAMETRES'!$F60:$N60,H8-1),0)</f>
        <v>0</v>
      </c>
      <c r="I63" s="107"/>
    </row>
    <row r="64" spans="1:9" ht="20.100000000000001" customHeight="1">
      <c r="A64" s="404"/>
      <c r="B64" s="391" t="s">
        <v>270</v>
      </c>
      <c r="C64" s="248"/>
      <c r="D64" s="248"/>
      <c r="E64" s="248"/>
      <c r="F64" s="248"/>
      <c r="G64" s="248"/>
      <c r="H64" s="248"/>
      <c r="I64" s="107"/>
    </row>
    <row r="65" spans="1:12" ht="20.100000000000001" customHeight="1">
      <c r="A65" s="469" t="s">
        <v>23</v>
      </c>
      <c r="B65" s="207" t="s">
        <v>129</v>
      </c>
      <c r="C65" s="260"/>
      <c r="D65" s="260"/>
      <c r="E65" s="260"/>
      <c r="F65" s="260"/>
      <c r="G65" s="260"/>
      <c r="H65" s="260"/>
      <c r="I65" s="107"/>
    </row>
    <row r="66" spans="1:12" ht="20.100000000000001" customHeight="1">
      <c r="A66" s="469" t="s">
        <v>23</v>
      </c>
      <c r="B66" s="207" t="s">
        <v>122</v>
      </c>
      <c r="C66" s="260"/>
      <c r="D66" s="260"/>
      <c r="E66" s="260"/>
      <c r="F66" s="260"/>
      <c r="G66" s="260"/>
      <c r="H66" s="260"/>
      <c r="I66" s="107"/>
    </row>
    <row r="67" spans="1:12" ht="20.100000000000001" customHeight="1">
      <c r="A67" s="469" t="s">
        <v>23</v>
      </c>
      <c r="B67" s="246" t="s">
        <v>271</v>
      </c>
      <c r="C67" s="261"/>
      <c r="D67" s="261"/>
      <c r="E67" s="261"/>
      <c r="F67" s="261"/>
      <c r="G67" s="261"/>
      <c r="H67" s="261"/>
      <c r="I67" s="107"/>
    </row>
    <row r="68" spans="1:12" ht="20.100000000000001" customHeight="1">
      <c r="A68" s="404"/>
      <c r="B68" s="213" t="s">
        <v>272</v>
      </c>
      <c r="C68" s="221">
        <f>IF(ISBLANK(C67),0,INDEX('0-ACCUEIL &amp; PARAMETRES'!$F57:$N57,C8-1))</f>
        <v>0</v>
      </c>
      <c r="D68" s="221">
        <f>IF(ISBLANK(D67),0,INDEX('0-ACCUEIL &amp; PARAMETRES'!$F57:$N57,D8-1))</f>
        <v>0</v>
      </c>
      <c r="E68" s="221">
        <f>IF(ISBLANK(E67),0,INDEX('0-ACCUEIL &amp; PARAMETRES'!$F57:$N57,E8-1))</f>
        <v>0</v>
      </c>
      <c r="F68" s="221">
        <f>IF(ISBLANK(F67),0,INDEX('0-ACCUEIL &amp; PARAMETRES'!$F57:$N57,F8-1))</f>
        <v>0</v>
      </c>
      <c r="G68" s="221">
        <f>IF(ISBLANK(G67),0,INDEX('0-ACCUEIL &amp; PARAMETRES'!$F57:$N57,G8-1))</f>
        <v>0</v>
      </c>
      <c r="H68" s="221">
        <f>IF(ISBLANK(H67),0,INDEX('0-ACCUEIL &amp; PARAMETRES'!$F57:$N57,H8-1))</f>
        <v>0</v>
      </c>
      <c r="I68" s="107"/>
    </row>
    <row r="69" spans="1:12" ht="20.100000000000001" customHeight="1" thickBot="1">
      <c r="A69" s="404"/>
      <c r="B69" s="508" t="s">
        <v>319</v>
      </c>
      <c r="C69" s="411">
        <f>IF(ISBLANK(C67),0,IF(C62="OUI",0,IF(C65&lt;='0-ACCUEIL &amp; PARAMETRES'!$A62,IF(C66&lt;='0-ACCUEIL &amp; PARAMETRES'!$C62,VLOOKUP(1,'0-ACCUEIL &amp; PARAMETRES'!$E62:$N69,C8,0),VLOOKUP(2,'0-ACCUEIL &amp; PARAMETRES'!$E62:$N69,C8,0)),IF(C65&lt;='0-ACCUEIL &amp; PARAMETRES'!$A64,IF(C66&lt;='0-ACCUEIL &amp; PARAMETRES'!$C64,VLOOKUP(3,'0-ACCUEIL &amp; PARAMETRES'!$E62:$N69,C8,0),VLOOKUP(4,'0-ACCUEIL &amp; PARAMETRES'!$E62:$N69,C8,0)),IF(C65&lt;='0-ACCUEIL &amp; PARAMETRES'!$A66,IF(C66&lt;='0-ACCUEIL &amp; PARAMETRES'!$C66,VLOOKUP(5,'0-ACCUEIL &amp; PARAMETRES'!$E62:$N69,C8,0),VLOOKUP(6,'0-ACCUEIL &amp; PARAMETRES'!$E62:$N69,C8,0)),IF(C65&lt;='0-ACCUEIL &amp; PARAMETRES'!$A68,IF(C66&lt;='0-ACCUEIL &amp; PARAMETRES'!$C68,VLOOKUP(7,'0-ACCUEIL &amp; PARAMETRES'!$E62:$N69,C8,0),VLOOKUP(8,'0-ACCUEIL &amp; PARAMETRES'!$E62:$N69,C8,0)),0))))))</f>
        <v>0</v>
      </c>
      <c r="D69" s="411">
        <f>IF(ISBLANK(D67),0,IF(D62="OUI",0,IF(D65&lt;='0-ACCUEIL &amp; PARAMETRES'!$A62,IF(D66&lt;='0-ACCUEIL &amp; PARAMETRES'!$C62,VLOOKUP(1,'0-ACCUEIL &amp; PARAMETRES'!$E62:$N69,D8,0),VLOOKUP(2,'0-ACCUEIL &amp; PARAMETRES'!$E62:$N69,D8,0)),IF(D65&lt;='0-ACCUEIL &amp; PARAMETRES'!$A64,IF(D66&lt;='0-ACCUEIL &amp; PARAMETRES'!$C64,VLOOKUP(3,'0-ACCUEIL &amp; PARAMETRES'!$E62:$N69,D8,0),VLOOKUP(4,'0-ACCUEIL &amp; PARAMETRES'!$E62:$N69,D8,0)),IF(D65&lt;='0-ACCUEIL &amp; PARAMETRES'!$A66,IF(D66&lt;='0-ACCUEIL &amp; PARAMETRES'!$C66,VLOOKUP(5,'0-ACCUEIL &amp; PARAMETRES'!$E62:$N69,D8,0),VLOOKUP(6,'0-ACCUEIL &amp; PARAMETRES'!$E62:$N69,D8,0)),IF(D65&lt;='0-ACCUEIL &amp; PARAMETRES'!$A68,IF(D66&lt;='0-ACCUEIL &amp; PARAMETRES'!$C68,VLOOKUP(7,'0-ACCUEIL &amp; PARAMETRES'!$E62:$N69,D8,0),VLOOKUP(8,'0-ACCUEIL &amp; PARAMETRES'!$E62:$N69,D8,0)),0))))))</f>
        <v>0</v>
      </c>
      <c r="E69" s="411">
        <f>IF(ISBLANK(E67),0,IF(E62="OUI",0,IF(E65&lt;='0-ACCUEIL &amp; PARAMETRES'!$A62,IF(E66&lt;='0-ACCUEIL &amp; PARAMETRES'!$C62,VLOOKUP(1,'0-ACCUEIL &amp; PARAMETRES'!$E62:$N69,E8,0),VLOOKUP(2,'0-ACCUEIL &amp; PARAMETRES'!$E62:$N69,E8,0)),IF(E65&lt;='0-ACCUEIL &amp; PARAMETRES'!$A64,IF(E66&lt;='0-ACCUEIL &amp; PARAMETRES'!$C64,VLOOKUP(3,'0-ACCUEIL &amp; PARAMETRES'!$E62:$N69,E8,0),VLOOKUP(4,'0-ACCUEIL &amp; PARAMETRES'!$E62:$N69,E8,0)),IF(E65&lt;='0-ACCUEIL &amp; PARAMETRES'!$A66,IF(E66&lt;='0-ACCUEIL &amp; PARAMETRES'!$C66,VLOOKUP(5,'0-ACCUEIL &amp; PARAMETRES'!$E62:$N69,E8,0),VLOOKUP(6,'0-ACCUEIL &amp; PARAMETRES'!$E62:$N69,E8,0)),IF(E65&lt;='0-ACCUEIL &amp; PARAMETRES'!$A68,IF(E66&lt;='0-ACCUEIL &amp; PARAMETRES'!$C68,VLOOKUP(7,'0-ACCUEIL &amp; PARAMETRES'!$E62:$N69,E8,0),VLOOKUP(8,'0-ACCUEIL &amp; PARAMETRES'!$E62:$N69,E8,0)),0))))))</f>
        <v>0</v>
      </c>
      <c r="F69" s="411">
        <f>IF(ISBLANK(F67),0,IF(F62="OUI",0,IF(F65&lt;='0-ACCUEIL &amp; PARAMETRES'!$A62,IF(F66&lt;='0-ACCUEIL &amp; PARAMETRES'!$C62,VLOOKUP(1,'0-ACCUEIL &amp; PARAMETRES'!$E62:$N69,F8,0),VLOOKUP(2,'0-ACCUEIL &amp; PARAMETRES'!$E62:$N69,F8,0)),IF(F65&lt;='0-ACCUEIL &amp; PARAMETRES'!$A64,IF(F66&lt;='0-ACCUEIL &amp; PARAMETRES'!$C64,VLOOKUP(3,'0-ACCUEIL &amp; PARAMETRES'!$E62:$N69,F8,0),VLOOKUP(4,'0-ACCUEIL &amp; PARAMETRES'!$E62:$N69,F8,0)),IF(F65&lt;='0-ACCUEIL &amp; PARAMETRES'!$A66,IF(F66&lt;='0-ACCUEIL &amp; PARAMETRES'!$C66,VLOOKUP(5,'0-ACCUEIL &amp; PARAMETRES'!$E62:$N69,F8,0),VLOOKUP(6,'0-ACCUEIL &amp; PARAMETRES'!$E62:$N69,F8,0)),IF(F65&lt;='0-ACCUEIL &amp; PARAMETRES'!$A68,IF(F66&lt;='0-ACCUEIL &amp; PARAMETRES'!$C68,VLOOKUP(7,'0-ACCUEIL &amp; PARAMETRES'!$E62:$N69,F8,0),VLOOKUP(8,'0-ACCUEIL &amp; PARAMETRES'!$E62:$N69,F8,0)),0))))))</f>
        <v>0</v>
      </c>
      <c r="G69" s="411">
        <f>IF(ISBLANK(G67),0,IF(G62="OUI",0,IF(G65&lt;='0-ACCUEIL &amp; PARAMETRES'!$A62,IF(G66&lt;='0-ACCUEIL &amp; PARAMETRES'!$C62,VLOOKUP(1,'0-ACCUEIL &amp; PARAMETRES'!$E62:$N69,G8,0),VLOOKUP(2,'0-ACCUEIL &amp; PARAMETRES'!$E62:$N69,G8,0)),IF(G65&lt;='0-ACCUEIL &amp; PARAMETRES'!$A64,IF(G66&lt;='0-ACCUEIL &amp; PARAMETRES'!$C64,VLOOKUP(3,'0-ACCUEIL &amp; PARAMETRES'!$E62:$N69,G8,0),VLOOKUP(4,'0-ACCUEIL &amp; PARAMETRES'!$E62:$N69,G8,0)),IF(G65&lt;='0-ACCUEIL &amp; PARAMETRES'!$A66,IF(G66&lt;='0-ACCUEIL &amp; PARAMETRES'!$C66,VLOOKUP(5,'0-ACCUEIL &amp; PARAMETRES'!$E62:$N69,G8,0),VLOOKUP(6,'0-ACCUEIL &amp; PARAMETRES'!$E62:$N69,G8,0)),IF(G65&lt;='0-ACCUEIL &amp; PARAMETRES'!$A68,IF(G66&lt;='0-ACCUEIL &amp; PARAMETRES'!$C68,VLOOKUP(7,'0-ACCUEIL &amp; PARAMETRES'!$E62:$N69,G8,0),VLOOKUP(8,'0-ACCUEIL &amp; PARAMETRES'!$E62:$N69,G8,0)),0))))))</f>
        <v>0</v>
      </c>
      <c r="H69" s="411">
        <f>IF(ISBLANK(H67),0,IF(H62="OUI",0,IF(H65&lt;='0-ACCUEIL &amp; PARAMETRES'!$A62,IF(H66&lt;='0-ACCUEIL &amp; PARAMETRES'!$C62,VLOOKUP(1,'0-ACCUEIL &amp; PARAMETRES'!$E62:$N69,H8,0),VLOOKUP(2,'0-ACCUEIL &amp; PARAMETRES'!$E62:$N69,H8,0)),IF(H65&lt;='0-ACCUEIL &amp; PARAMETRES'!$A64,IF(H66&lt;='0-ACCUEIL &amp; PARAMETRES'!$C64,VLOOKUP(3,'0-ACCUEIL &amp; PARAMETRES'!$E62:$N69,H8,0),VLOOKUP(4,'0-ACCUEIL &amp; PARAMETRES'!$E62:$N69,H8,0)),IF(H65&lt;='0-ACCUEIL &amp; PARAMETRES'!$A66,IF(H66&lt;='0-ACCUEIL &amp; PARAMETRES'!$C66,VLOOKUP(5,'0-ACCUEIL &amp; PARAMETRES'!$E62:$N69,H8,0),VLOOKUP(6,'0-ACCUEIL &amp; PARAMETRES'!$E62:$N69,H8,0)),IF(H65&lt;='0-ACCUEIL &amp; PARAMETRES'!$A68,IF(H66&lt;='0-ACCUEIL &amp; PARAMETRES'!$C68,VLOOKUP(7,'0-ACCUEIL &amp; PARAMETRES'!$E62:$N69,H8,0),VLOOKUP(8,'0-ACCUEIL &amp; PARAMETRES'!$E62:$N69,H8,0)),0))))))</f>
        <v>0</v>
      </c>
      <c r="I69" s="107"/>
    </row>
    <row r="70" spans="1:12" ht="20.100000000000001" customHeight="1" thickBot="1">
      <c r="A70" s="404"/>
      <c r="B70" s="412" t="s">
        <v>263</v>
      </c>
      <c r="C70" s="413">
        <f>IF(C62="NON",C67*(C68+C69),C67*(C63+C68))</f>
        <v>0</v>
      </c>
      <c r="D70" s="413">
        <f t="shared" ref="D70:H70" si="17">IF(D62="NON",D67*(D68+D69),D67*(D63+D68))</f>
        <v>0</v>
      </c>
      <c r="E70" s="413">
        <f t="shared" si="17"/>
        <v>0</v>
      </c>
      <c r="F70" s="413">
        <f t="shared" si="17"/>
        <v>0</v>
      </c>
      <c r="G70" s="413">
        <f t="shared" si="17"/>
        <v>0</v>
      </c>
      <c r="H70" s="413">
        <f t="shared" si="17"/>
        <v>0</v>
      </c>
      <c r="I70" s="277"/>
    </row>
    <row r="71" spans="1:12" ht="15.95" customHeight="1" thickBot="1">
      <c r="B71" s="401"/>
      <c r="C71" s="402"/>
      <c r="D71" s="402"/>
      <c r="E71" s="402"/>
      <c r="F71" s="402"/>
      <c r="G71" s="402"/>
      <c r="H71" s="402"/>
      <c r="I71" s="403"/>
    </row>
    <row r="72" spans="1:12" ht="20.100000000000001" customHeight="1" thickBot="1">
      <c r="B72" s="695" t="s">
        <v>15</v>
      </c>
      <c r="C72" s="696"/>
      <c r="D72" s="696"/>
      <c r="E72" s="696"/>
      <c r="F72" s="696"/>
      <c r="G72" s="696"/>
      <c r="H72" s="697"/>
      <c r="I72" s="107"/>
    </row>
    <row r="73" spans="1:12" ht="20.100000000000001" customHeight="1">
      <c r="B73" s="425" t="s">
        <v>107</v>
      </c>
      <c r="C73" s="406"/>
      <c r="D73" s="406"/>
      <c r="E73" s="406"/>
      <c r="F73" s="406"/>
      <c r="G73" s="406"/>
      <c r="H73" s="407"/>
      <c r="I73" s="116"/>
      <c r="L73" s="341">
        <v>38</v>
      </c>
    </row>
    <row r="74" spans="1:12" ht="45">
      <c r="B74" s="426" t="s">
        <v>318</v>
      </c>
      <c r="C74" s="212" t="e">
        <f t="shared" ref="C74:H74" si="18">IF(C35&lt;C36,((C28+C34)*C35*0.66*C29),((C28+C34)*ROUND(C36*0.66,2)*C29))</f>
        <v>#N/A</v>
      </c>
      <c r="D74" s="212" t="e">
        <f t="shared" si="18"/>
        <v>#N/A</v>
      </c>
      <c r="E74" s="212" t="e">
        <f t="shared" si="18"/>
        <v>#N/A</v>
      </c>
      <c r="F74" s="212" t="e">
        <f t="shared" si="18"/>
        <v>#N/A</v>
      </c>
      <c r="G74" s="212" t="e">
        <f t="shared" si="18"/>
        <v>#N/A</v>
      </c>
      <c r="H74" s="408" t="e">
        <f t="shared" si="18"/>
        <v>#N/A</v>
      </c>
      <c r="I74" s="115"/>
      <c r="L74" s="341">
        <v>39</v>
      </c>
    </row>
    <row r="75" spans="1:12" ht="36" customHeight="1">
      <c r="B75" s="464" t="s">
        <v>291</v>
      </c>
      <c r="C75" s="212" t="e">
        <f t="shared" ref="C75:H75" si="19">IF(C35&lt;C36,((C28+C34)*C35*0.66),((C28+C34)*ROUND(C36*0.66,2)))-IF(C35&lt;C36,((C28+C34)*C35*0.66*C29),((C28+C34)*ROUND(C36*0.66,2)*C29))</f>
        <v>#N/A</v>
      </c>
      <c r="D75" s="212" t="e">
        <f t="shared" si="19"/>
        <v>#N/A</v>
      </c>
      <c r="E75" s="212" t="e">
        <f t="shared" si="19"/>
        <v>#N/A</v>
      </c>
      <c r="F75" s="212" t="e">
        <f t="shared" si="19"/>
        <v>#N/A</v>
      </c>
      <c r="G75" s="212" t="e">
        <f t="shared" si="19"/>
        <v>#N/A</v>
      </c>
      <c r="H75" s="212" t="e">
        <f t="shared" si="19"/>
        <v>#N/A</v>
      </c>
      <c r="I75" s="115"/>
    </row>
    <row r="76" spans="1:12" ht="20.100000000000001" customHeight="1">
      <c r="B76" s="427" t="s">
        <v>113</v>
      </c>
      <c r="C76" s="212">
        <f t="shared" ref="C76:H76" si="20">C44</f>
        <v>0</v>
      </c>
      <c r="D76" s="212">
        <f t="shared" si="20"/>
        <v>0</v>
      </c>
      <c r="E76" s="212">
        <f t="shared" si="20"/>
        <v>0</v>
      </c>
      <c r="F76" s="212">
        <f t="shared" si="20"/>
        <v>0</v>
      </c>
      <c r="G76" s="212">
        <f t="shared" si="20"/>
        <v>0</v>
      </c>
      <c r="H76" s="408">
        <f t="shared" si="20"/>
        <v>0</v>
      </c>
      <c r="I76" s="115"/>
      <c r="L76" s="341">
        <v>43</v>
      </c>
    </row>
    <row r="77" spans="1:12" ht="20.100000000000001" customHeight="1">
      <c r="B77" s="427" t="s">
        <v>288</v>
      </c>
      <c r="C77" s="212" t="e">
        <f t="shared" ref="C77:H77" si="21">C58</f>
        <v>#N/A</v>
      </c>
      <c r="D77" s="212" t="e">
        <f t="shared" si="21"/>
        <v>#N/A</v>
      </c>
      <c r="E77" s="212" t="e">
        <f t="shared" si="21"/>
        <v>#N/A</v>
      </c>
      <c r="F77" s="212" t="e">
        <f t="shared" si="21"/>
        <v>#N/A</v>
      </c>
      <c r="G77" s="212" t="e">
        <f t="shared" si="21"/>
        <v>#N/A</v>
      </c>
      <c r="H77" s="408" t="e">
        <f t="shared" si="21"/>
        <v>#N/A</v>
      </c>
      <c r="I77" s="115"/>
      <c r="L77" s="341">
        <v>44</v>
      </c>
    </row>
    <row r="78" spans="1:12" ht="20.100000000000001" customHeight="1">
      <c r="B78" s="427" t="s">
        <v>112</v>
      </c>
      <c r="C78" s="262">
        <f t="shared" ref="C78:H78" si="22">C70</f>
        <v>0</v>
      </c>
      <c r="D78" s="262">
        <f t="shared" si="22"/>
        <v>0</v>
      </c>
      <c r="E78" s="262">
        <f t="shared" si="22"/>
        <v>0</v>
      </c>
      <c r="F78" s="262">
        <f t="shared" si="22"/>
        <v>0</v>
      </c>
      <c r="G78" s="262">
        <f t="shared" si="22"/>
        <v>0</v>
      </c>
      <c r="H78" s="409">
        <f t="shared" si="22"/>
        <v>0</v>
      </c>
      <c r="I78" s="115"/>
      <c r="L78" s="341">
        <v>45</v>
      </c>
    </row>
    <row r="79" spans="1:12" ht="20.100000000000001" customHeight="1">
      <c r="A79" s="465" t="s">
        <v>23</v>
      </c>
      <c r="B79" s="494" t="s">
        <v>309</v>
      </c>
      <c r="C79" s="261"/>
      <c r="D79" s="261"/>
      <c r="E79" s="261"/>
      <c r="F79" s="261"/>
      <c r="G79" s="261"/>
      <c r="H79" s="261"/>
      <c r="I79" s="115"/>
      <c r="L79" s="341">
        <v>46</v>
      </c>
    </row>
    <row r="80" spans="1:12" ht="20.100000000000001" customHeight="1">
      <c r="A80" s="465" t="s">
        <v>23</v>
      </c>
      <c r="B80" s="495" t="s">
        <v>310</v>
      </c>
      <c r="C80" s="502">
        <f>C93</f>
        <v>0</v>
      </c>
      <c r="D80" s="502">
        <f t="shared" ref="D80:H80" si="23">D93</f>
        <v>0</v>
      </c>
      <c r="E80" s="502">
        <f t="shared" si="23"/>
        <v>0</v>
      </c>
      <c r="F80" s="502">
        <f t="shared" si="23"/>
        <v>0</v>
      </c>
      <c r="G80" s="502">
        <f t="shared" si="23"/>
        <v>0</v>
      </c>
      <c r="H80" s="502">
        <f t="shared" si="23"/>
        <v>0</v>
      </c>
      <c r="I80" s="107"/>
      <c r="L80" s="341">
        <v>47</v>
      </c>
    </row>
    <row r="81" spans="1:12" ht="20.100000000000001" customHeight="1">
      <c r="A81" s="465" t="s">
        <v>23</v>
      </c>
      <c r="B81" s="494" t="s">
        <v>311</v>
      </c>
      <c r="C81" s="263"/>
      <c r="D81" s="263"/>
      <c r="E81" s="263"/>
      <c r="F81" s="263"/>
      <c r="G81" s="263"/>
      <c r="H81" s="263"/>
      <c r="I81" s="107"/>
      <c r="L81" s="341">
        <v>48</v>
      </c>
    </row>
    <row r="82" spans="1:12" ht="20.100000000000001" customHeight="1">
      <c r="A82" s="465" t="s">
        <v>23</v>
      </c>
      <c r="B82" s="496" t="s">
        <v>16</v>
      </c>
      <c r="C82" s="271"/>
      <c r="D82" s="271"/>
      <c r="E82" s="271"/>
      <c r="F82" s="271"/>
      <c r="G82" s="271"/>
      <c r="H82" s="271"/>
      <c r="I82" s="107"/>
    </row>
    <row r="83" spans="1:12" ht="20.100000000000001" customHeight="1" thickBot="1">
      <c r="A83" s="465" t="s">
        <v>23</v>
      </c>
      <c r="B83" s="497" t="s">
        <v>312</v>
      </c>
      <c r="C83" s="264"/>
      <c r="D83" s="264"/>
      <c r="E83" s="264"/>
      <c r="F83" s="264"/>
      <c r="G83" s="264"/>
      <c r="H83" s="264"/>
      <c r="I83" s="107"/>
      <c r="L83" s="341">
        <v>49</v>
      </c>
    </row>
    <row r="84" spans="1:12" ht="21.95" customHeight="1" thickBot="1">
      <c r="B84" s="439" t="s">
        <v>17</v>
      </c>
      <c r="C84" s="421" t="e">
        <f>SUM(C74:C83)</f>
        <v>#N/A</v>
      </c>
      <c r="D84" s="421" t="e">
        <f t="shared" ref="D84:H84" si="24">SUM(D74:D83)</f>
        <v>#N/A</v>
      </c>
      <c r="E84" s="421" t="e">
        <f t="shared" si="24"/>
        <v>#N/A</v>
      </c>
      <c r="F84" s="421" t="e">
        <f t="shared" si="24"/>
        <v>#N/A</v>
      </c>
      <c r="G84" s="421" t="e">
        <f t="shared" si="24"/>
        <v>#N/A</v>
      </c>
      <c r="H84" s="421" t="e">
        <f t="shared" si="24"/>
        <v>#N/A</v>
      </c>
      <c r="I84" s="107"/>
      <c r="L84" s="341">
        <v>85</v>
      </c>
    </row>
    <row r="85" spans="1:12" ht="26.1" customHeight="1" thickBot="1">
      <c r="I85" s="51"/>
      <c r="L85" s="341">
        <v>86</v>
      </c>
    </row>
    <row r="86" spans="1:12" ht="20.100000000000001" customHeight="1" thickBot="1">
      <c r="B86" s="692" t="s">
        <v>18</v>
      </c>
      <c r="C86" s="693"/>
      <c r="D86" s="693"/>
      <c r="E86" s="693"/>
      <c r="F86" s="693"/>
      <c r="G86" s="693"/>
      <c r="H86" s="694"/>
      <c r="I86" s="107"/>
      <c r="L86" s="341">
        <v>88</v>
      </c>
    </row>
    <row r="87" spans="1:12" ht="20.100000000000001" customHeight="1">
      <c r="A87" s="465" t="s">
        <v>23</v>
      </c>
      <c r="B87" s="498" t="s">
        <v>19</v>
      </c>
      <c r="C87" s="257"/>
      <c r="D87" s="257"/>
      <c r="E87" s="257"/>
      <c r="F87" s="257"/>
      <c r="G87" s="257"/>
      <c r="H87" s="257"/>
      <c r="I87" s="107"/>
      <c r="L87" s="341">
        <v>92</v>
      </c>
    </row>
    <row r="88" spans="1:12" ht="20.100000000000001" customHeight="1">
      <c r="A88" s="465" t="s">
        <v>23</v>
      </c>
      <c r="B88" s="499" t="s">
        <v>20</v>
      </c>
      <c r="C88" s="263"/>
      <c r="D88" s="263"/>
      <c r="E88" s="263"/>
      <c r="F88" s="263"/>
      <c r="G88" s="263"/>
      <c r="H88" s="263"/>
      <c r="I88" s="107"/>
      <c r="L88" s="341">
        <v>95</v>
      </c>
    </row>
    <row r="89" spans="1:12" ht="20.100000000000001" customHeight="1">
      <c r="A89" s="465" t="s">
        <v>23</v>
      </c>
      <c r="B89" s="500" t="s">
        <v>313</v>
      </c>
      <c r="C89" s="257"/>
      <c r="D89" s="267"/>
      <c r="E89" s="267"/>
      <c r="F89" s="267"/>
      <c r="G89" s="267"/>
      <c r="H89" s="267"/>
      <c r="I89" s="107"/>
      <c r="L89" s="341">
        <v>98</v>
      </c>
    </row>
    <row r="90" spans="1:12" ht="20.100000000000001" customHeight="1">
      <c r="A90" s="465" t="s">
        <v>23</v>
      </c>
      <c r="B90" s="501" t="s">
        <v>314</v>
      </c>
      <c r="C90" s="263"/>
      <c r="D90" s="263"/>
      <c r="E90" s="263"/>
      <c r="F90" s="263"/>
      <c r="G90" s="263"/>
      <c r="H90" s="263"/>
      <c r="I90" s="107"/>
      <c r="L90" s="341">
        <v>117</v>
      </c>
    </row>
    <row r="91" spans="1:12" ht="20.100000000000001" customHeight="1">
      <c r="A91" s="465" t="s">
        <v>23</v>
      </c>
      <c r="B91" s="501" t="s">
        <v>315</v>
      </c>
      <c r="C91" s="257"/>
      <c r="D91" s="273"/>
      <c r="E91" s="273"/>
      <c r="F91" s="273"/>
      <c r="G91" s="273"/>
      <c r="H91" s="273"/>
      <c r="I91" s="107"/>
      <c r="L91" s="341">
        <v>124</v>
      </c>
    </row>
    <row r="92" spans="1:12" ht="20.100000000000001" customHeight="1">
      <c r="A92" s="465" t="s">
        <v>23</v>
      </c>
      <c r="B92" s="501" t="s">
        <v>21</v>
      </c>
      <c r="C92" s="263"/>
      <c r="D92" s="267"/>
      <c r="E92" s="267"/>
      <c r="F92" s="267"/>
      <c r="G92" s="267"/>
      <c r="H92" s="267"/>
      <c r="I92" s="107"/>
      <c r="L92" s="341">
        <v>135</v>
      </c>
    </row>
    <row r="93" spans="1:12" ht="20.100000000000001" customHeight="1" thickBot="1">
      <c r="A93" s="465" t="s">
        <v>23</v>
      </c>
      <c r="B93" s="500" t="s">
        <v>8</v>
      </c>
      <c r="C93" s="257"/>
      <c r="D93" s="507"/>
      <c r="E93" s="507"/>
      <c r="F93" s="507"/>
      <c r="G93" s="507"/>
      <c r="H93" s="507"/>
      <c r="I93" s="107"/>
      <c r="L93" s="341">
        <v>143</v>
      </c>
    </row>
    <row r="94" spans="1:12" ht="23.1" customHeight="1" thickBot="1">
      <c r="B94" s="448" t="s">
        <v>22</v>
      </c>
      <c r="C94" s="418">
        <f>SUM(C87:C93)</f>
        <v>0</v>
      </c>
      <c r="D94" s="418">
        <f t="shared" ref="D94:H94" si="25">SUM(D87:D93)</f>
        <v>0</v>
      </c>
      <c r="E94" s="418">
        <f t="shared" si="25"/>
        <v>0</v>
      </c>
      <c r="F94" s="418">
        <f t="shared" si="25"/>
        <v>0</v>
      </c>
      <c r="G94" s="418">
        <f t="shared" si="25"/>
        <v>0</v>
      </c>
      <c r="H94" s="418">
        <f t="shared" si="25"/>
        <v>0</v>
      </c>
      <c r="I94" s="107"/>
      <c r="L94" s="341">
        <v>145</v>
      </c>
    </row>
    <row r="95" spans="1:12" ht="15">
      <c r="B95" s="274"/>
      <c r="C95" s="275"/>
      <c r="D95" s="275"/>
      <c r="E95" s="275"/>
      <c r="F95" s="275"/>
      <c r="G95" s="275"/>
      <c r="H95" s="275"/>
      <c r="L95" s="341">
        <v>146</v>
      </c>
    </row>
    <row r="96" spans="1:12" ht="15.95" customHeight="1" thickBot="1">
      <c r="B96" s="274"/>
      <c r="C96" s="275"/>
      <c r="D96" s="275"/>
      <c r="E96" s="275"/>
      <c r="F96" s="275"/>
      <c r="G96" s="275"/>
      <c r="H96" s="275"/>
      <c r="L96" s="341">
        <v>147</v>
      </c>
    </row>
    <row r="97" spans="2:12" ht="23.1" customHeight="1" thickBot="1">
      <c r="B97" s="419" t="s">
        <v>4</v>
      </c>
      <c r="C97" s="420" t="e">
        <f t="shared" ref="C97:H97" si="26">C$84-C$94</f>
        <v>#N/A</v>
      </c>
      <c r="D97" s="420" t="e">
        <f t="shared" si="26"/>
        <v>#N/A</v>
      </c>
      <c r="E97" s="420" t="e">
        <f t="shared" si="26"/>
        <v>#N/A</v>
      </c>
      <c r="F97" s="420" t="e">
        <f t="shared" si="26"/>
        <v>#N/A</v>
      </c>
      <c r="G97" s="420" t="e">
        <f t="shared" si="26"/>
        <v>#N/A</v>
      </c>
      <c r="H97" s="420" t="e">
        <f t="shared" si="26"/>
        <v>#N/A</v>
      </c>
      <c r="I97" s="107"/>
      <c r="L97" s="341">
        <v>148</v>
      </c>
    </row>
    <row r="98" spans="2:12">
      <c r="L98" s="341">
        <v>149</v>
      </c>
    </row>
    <row r="99" spans="2:12" ht="13.5" thickBot="1">
      <c r="L99" s="341">
        <v>150</v>
      </c>
    </row>
    <row r="100" spans="2:12" ht="27" customHeight="1" thickBot="1">
      <c r="B100" s="106" t="str">
        <f>B1</f>
        <v>XXXXXXXX</v>
      </c>
      <c r="I100" s="683" t="s">
        <v>46</v>
      </c>
      <c r="J100" s="684"/>
    </row>
    <row r="101" spans="2:12" ht="27" customHeight="1" thickBot="1">
      <c r="B101" s="106" t="str">
        <f>B2</f>
        <v>EAJE</v>
      </c>
      <c r="I101" s="685"/>
      <c r="J101" s="686"/>
    </row>
    <row r="102" spans="2:12" ht="21" customHeight="1" thickBot="1">
      <c r="C102" s="689" t="s">
        <v>260</v>
      </c>
      <c r="D102" s="690"/>
      <c r="E102" s="690"/>
      <c r="F102" s="690"/>
      <c r="G102" s="690"/>
      <c r="H102" s="691"/>
      <c r="I102" s="687"/>
      <c r="J102" s="688"/>
    </row>
    <row r="103" spans="2:12" ht="20.100000000000001" customHeight="1" thickBot="1">
      <c r="B103" s="398" t="s">
        <v>53</v>
      </c>
      <c r="C103" s="105" t="str">
        <f t="shared" ref="C103:H104" si="27">C3</f>
        <v>PREVI</v>
      </c>
      <c r="D103" s="105">
        <f t="shared" si="27"/>
        <v>0</v>
      </c>
      <c r="E103" s="105">
        <f t="shared" si="27"/>
        <v>0</v>
      </c>
      <c r="F103" s="105">
        <f t="shared" si="27"/>
        <v>0</v>
      </c>
      <c r="G103" s="105">
        <f t="shared" si="27"/>
        <v>0</v>
      </c>
      <c r="H103" s="105">
        <f t="shared" si="27"/>
        <v>0</v>
      </c>
      <c r="I103" s="35" t="s">
        <v>44</v>
      </c>
      <c r="J103" s="491" t="s">
        <v>45</v>
      </c>
    </row>
    <row r="104" spans="2:12" ht="20.100000000000001" customHeight="1" thickBot="1">
      <c r="B104" s="399"/>
      <c r="C104" s="104">
        <f t="shared" si="27"/>
        <v>0</v>
      </c>
      <c r="D104" s="104">
        <f t="shared" si="27"/>
        <v>0</v>
      </c>
      <c r="E104" s="104">
        <f t="shared" si="27"/>
        <v>0</v>
      </c>
      <c r="F104" s="104">
        <f t="shared" si="27"/>
        <v>0</v>
      </c>
      <c r="G104" s="104">
        <f t="shared" si="27"/>
        <v>0</v>
      </c>
      <c r="H104" s="104">
        <f t="shared" si="27"/>
        <v>0</v>
      </c>
      <c r="I104" s="36"/>
      <c r="J104" s="37"/>
    </row>
    <row r="105" spans="2:12" ht="20.100000000000001" customHeight="1" thickBot="1">
      <c r="B105" s="103" t="s">
        <v>3</v>
      </c>
      <c r="C105" s="102"/>
      <c r="D105" s="102"/>
      <c r="E105" s="102"/>
      <c r="F105" s="102"/>
      <c r="G105" s="102"/>
      <c r="H105" s="102"/>
      <c r="I105" s="38"/>
      <c r="J105" s="39"/>
    </row>
    <row r="106" spans="2:12" ht="20.100000000000001" customHeight="1">
      <c r="B106" s="276" t="s">
        <v>316</v>
      </c>
      <c r="C106" s="101" t="e">
        <f>C74+C75</f>
        <v>#N/A</v>
      </c>
      <c r="D106" s="101" t="e">
        <f t="shared" ref="D106:H106" si="28">D74+D75</f>
        <v>#N/A</v>
      </c>
      <c r="E106" s="101" t="e">
        <f t="shared" si="28"/>
        <v>#N/A</v>
      </c>
      <c r="F106" s="101" t="e">
        <f t="shared" si="28"/>
        <v>#N/A</v>
      </c>
      <c r="G106" s="101" t="e">
        <f t="shared" si="28"/>
        <v>#N/A</v>
      </c>
      <c r="H106" s="101" t="e">
        <f t="shared" si="28"/>
        <v>#N/A</v>
      </c>
      <c r="I106" s="38"/>
      <c r="J106" s="40"/>
    </row>
    <row r="107" spans="2:12" ht="20.100000000000001" customHeight="1">
      <c r="B107" s="99" t="s">
        <v>5</v>
      </c>
      <c r="C107" s="400" t="e">
        <f t="shared" ref="C107:H107" si="29">C106/C12</f>
        <v>#N/A</v>
      </c>
      <c r="D107" s="400" t="e">
        <f t="shared" si="29"/>
        <v>#N/A</v>
      </c>
      <c r="E107" s="400" t="e">
        <f t="shared" si="29"/>
        <v>#N/A</v>
      </c>
      <c r="F107" s="400" t="e">
        <f t="shared" si="29"/>
        <v>#N/A</v>
      </c>
      <c r="G107" s="400" t="e">
        <f t="shared" si="29"/>
        <v>#N/A</v>
      </c>
      <c r="H107" s="400" t="e">
        <f t="shared" si="29"/>
        <v>#N/A</v>
      </c>
      <c r="I107" s="41">
        <v>9824</v>
      </c>
      <c r="J107" s="42">
        <v>12172</v>
      </c>
    </row>
    <row r="108" spans="2:12" ht="20.100000000000001" customHeight="1">
      <c r="B108" s="98" t="s">
        <v>138</v>
      </c>
      <c r="C108" s="100" t="e">
        <f>C76+C77+C78</f>
        <v>#N/A</v>
      </c>
      <c r="D108" s="100" t="e">
        <f t="shared" ref="D108:H108" si="30">D76+D77+D78</f>
        <v>#N/A</v>
      </c>
      <c r="E108" s="100" t="e">
        <f t="shared" si="30"/>
        <v>#N/A</v>
      </c>
      <c r="F108" s="100" t="e">
        <f t="shared" si="30"/>
        <v>#N/A</v>
      </c>
      <c r="G108" s="100" t="e">
        <f t="shared" si="30"/>
        <v>#N/A</v>
      </c>
      <c r="H108" s="100" t="e">
        <f t="shared" si="30"/>
        <v>#N/A</v>
      </c>
      <c r="I108" s="41"/>
      <c r="J108" s="42"/>
    </row>
    <row r="109" spans="2:12" ht="20.100000000000001" customHeight="1">
      <c r="B109" s="99" t="s">
        <v>5</v>
      </c>
      <c r="C109" s="82" t="e">
        <f>C108/C$12</f>
        <v>#N/A</v>
      </c>
      <c r="D109" s="82" t="e">
        <f t="shared" ref="D109:H109" si="31">D108/D$12</f>
        <v>#N/A</v>
      </c>
      <c r="E109" s="82" t="e">
        <f t="shared" si="31"/>
        <v>#N/A</v>
      </c>
      <c r="F109" s="82" t="e">
        <f t="shared" si="31"/>
        <v>#N/A</v>
      </c>
      <c r="G109" s="82" t="e">
        <f t="shared" si="31"/>
        <v>#N/A</v>
      </c>
      <c r="H109" s="82" t="e">
        <f t="shared" si="31"/>
        <v>#N/A</v>
      </c>
      <c r="I109" s="41"/>
      <c r="J109" s="42"/>
    </row>
    <row r="110" spans="2:12" ht="20.100000000000001" customHeight="1">
      <c r="B110" s="98" t="s">
        <v>6</v>
      </c>
      <c r="C110" s="96">
        <f>C79</f>
        <v>0</v>
      </c>
      <c r="D110" s="96">
        <f t="shared" ref="D110:H110" si="32">D79</f>
        <v>0</v>
      </c>
      <c r="E110" s="96">
        <f t="shared" si="32"/>
        <v>0</v>
      </c>
      <c r="F110" s="96">
        <f t="shared" si="32"/>
        <v>0</v>
      </c>
      <c r="G110" s="96">
        <f t="shared" si="32"/>
        <v>0</v>
      </c>
      <c r="H110" s="503">
        <f t="shared" si="32"/>
        <v>0</v>
      </c>
      <c r="I110" s="43"/>
      <c r="J110" s="42"/>
    </row>
    <row r="111" spans="2:12" ht="20.100000000000001" customHeight="1">
      <c r="B111" s="99" t="s">
        <v>7</v>
      </c>
      <c r="C111" s="504" t="e">
        <f t="shared" ref="C111:H111" si="33">C110/C12</f>
        <v>#DIV/0!</v>
      </c>
      <c r="D111" s="504" t="e">
        <f t="shared" si="33"/>
        <v>#DIV/0!</v>
      </c>
      <c r="E111" s="504" t="e">
        <f t="shared" si="33"/>
        <v>#DIV/0!</v>
      </c>
      <c r="F111" s="504" t="e">
        <f t="shared" si="33"/>
        <v>#DIV/0!</v>
      </c>
      <c r="G111" s="504" t="e">
        <f t="shared" si="33"/>
        <v>#DIV/0!</v>
      </c>
      <c r="H111" s="505" t="e">
        <f t="shared" si="33"/>
        <v>#DIV/0!</v>
      </c>
      <c r="I111" s="43"/>
      <c r="J111" s="42"/>
    </row>
    <row r="112" spans="2:12" ht="20.100000000000001" customHeight="1">
      <c r="B112" s="93" t="s">
        <v>8</v>
      </c>
      <c r="C112" s="100">
        <f>C80</f>
        <v>0</v>
      </c>
      <c r="D112" s="100">
        <f t="shared" ref="D112:H112" si="34">D80</f>
        <v>0</v>
      </c>
      <c r="E112" s="100">
        <f t="shared" si="34"/>
        <v>0</v>
      </c>
      <c r="F112" s="100">
        <f t="shared" si="34"/>
        <v>0</v>
      </c>
      <c r="G112" s="100">
        <f t="shared" si="34"/>
        <v>0</v>
      </c>
      <c r="H112" s="100">
        <f t="shared" si="34"/>
        <v>0</v>
      </c>
      <c r="I112" s="41"/>
      <c r="J112" s="42"/>
    </row>
    <row r="113" spans="2:10" ht="20.100000000000001" customHeight="1">
      <c r="B113" s="99" t="s">
        <v>7</v>
      </c>
      <c r="C113" s="82" t="e">
        <f t="shared" ref="C113:H113" si="35">C112/C12</f>
        <v>#DIV/0!</v>
      </c>
      <c r="D113" s="82" t="e">
        <f t="shared" si="35"/>
        <v>#DIV/0!</v>
      </c>
      <c r="E113" s="82" t="e">
        <f t="shared" si="35"/>
        <v>#DIV/0!</v>
      </c>
      <c r="F113" s="82" t="e">
        <f t="shared" si="35"/>
        <v>#DIV/0!</v>
      </c>
      <c r="G113" s="82" t="e">
        <f t="shared" si="35"/>
        <v>#DIV/0!</v>
      </c>
      <c r="H113" s="82" t="e">
        <f t="shared" si="35"/>
        <v>#DIV/0!</v>
      </c>
      <c r="I113" s="41"/>
      <c r="J113" s="42"/>
    </row>
    <row r="114" spans="2:10" ht="20.100000000000001" customHeight="1">
      <c r="B114" s="98" t="s">
        <v>11</v>
      </c>
      <c r="C114" s="97">
        <f>C81</f>
        <v>0</v>
      </c>
      <c r="D114" s="97">
        <f t="shared" ref="D114:H114" si="36">D81</f>
        <v>0</v>
      </c>
      <c r="E114" s="97">
        <f t="shared" si="36"/>
        <v>0</v>
      </c>
      <c r="F114" s="97">
        <f t="shared" si="36"/>
        <v>0</v>
      </c>
      <c r="G114" s="97">
        <f t="shared" si="36"/>
        <v>0</v>
      </c>
      <c r="H114" s="97">
        <f t="shared" si="36"/>
        <v>0</v>
      </c>
      <c r="I114" s="41"/>
      <c r="J114" s="42"/>
    </row>
    <row r="115" spans="2:10" ht="20.100000000000001" customHeight="1">
      <c r="B115" s="99" t="s">
        <v>7</v>
      </c>
      <c r="C115" s="504" t="e">
        <f t="shared" ref="C115:H115" si="37">C114/C12</f>
        <v>#DIV/0!</v>
      </c>
      <c r="D115" s="504" t="e">
        <f t="shared" si="37"/>
        <v>#DIV/0!</v>
      </c>
      <c r="E115" s="504" t="e">
        <f t="shared" si="37"/>
        <v>#DIV/0!</v>
      </c>
      <c r="F115" s="504" t="e">
        <f t="shared" si="37"/>
        <v>#DIV/0!</v>
      </c>
      <c r="G115" s="504" t="e">
        <f t="shared" si="37"/>
        <v>#DIV/0!</v>
      </c>
      <c r="H115" s="505" t="e">
        <f t="shared" si="37"/>
        <v>#DIV/0!</v>
      </c>
      <c r="I115" s="41"/>
      <c r="J115" s="42"/>
    </row>
    <row r="116" spans="2:10" ht="20.100000000000001" customHeight="1">
      <c r="B116" s="93" t="s">
        <v>16</v>
      </c>
      <c r="C116" s="91">
        <f>C82</f>
        <v>0</v>
      </c>
      <c r="D116" s="91">
        <f t="shared" ref="D116:H116" si="38">D82</f>
        <v>0</v>
      </c>
      <c r="E116" s="91">
        <f t="shared" si="38"/>
        <v>0</v>
      </c>
      <c r="F116" s="91">
        <f t="shared" si="38"/>
        <v>0</v>
      </c>
      <c r="G116" s="91">
        <f t="shared" si="38"/>
        <v>0</v>
      </c>
      <c r="H116" s="91">
        <f t="shared" si="38"/>
        <v>0</v>
      </c>
      <c r="I116" s="41"/>
      <c r="J116" s="42"/>
    </row>
    <row r="117" spans="2:10" ht="20.100000000000001" customHeight="1">
      <c r="B117" s="99" t="s">
        <v>7</v>
      </c>
      <c r="C117" s="504" t="e">
        <f t="shared" ref="C117:H117" si="39">C116/C12</f>
        <v>#DIV/0!</v>
      </c>
      <c r="D117" s="504" t="e">
        <f t="shared" si="39"/>
        <v>#DIV/0!</v>
      </c>
      <c r="E117" s="504" t="e">
        <f t="shared" si="39"/>
        <v>#DIV/0!</v>
      </c>
      <c r="F117" s="504" t="e">
        <f t="shared" si="39"/>
        <v>#DIV/0!</v>
      </c>
      <c r="G117" s="504" t="e">
        <f t="shared" si="39"/>
        <v>#DIV/0!</v>
      </c>
      <c r="H117" s="505" t="e">
        <f t="shared" si="39"/>
        <v>#DIV/0!</v>
      </c>
      <c r="I117" s="41"/>
      <c r="J117" s="42"/>
    </row>
    <row r="118" spans="2:10" ht="20.100000000000001" customHeight="1">
      <c r="B118" s="92" t="s">
        <v>51</v>
      </c>
      <c r="C118" s="91">
        <f>C83</f>
        <v>0</v>
      </c>
      <c r="D118" s="91">
        <f t="shared" ref="D118:H118" si="40">D83</f>
        <v>0</v>
      </c>
      <c r="E118" s="91">
        <f t="shared" si="40"/>
        <v>0</v>
      </c>
      <c r="F118" s="91">
        <f t="shared" si="40"/>
        <v>0</v>
      </c>
      <c r="G118" s="91">
        <f t="shared" si="40"/>
        <v>0</v>
      </c>
      <c r="H118" s="91">
        <f t="shared" si="40"/>
        <v>0</v>
      </c>
      <c r="I118" s="41"/>
      <c r="J118" s="42"/>
    </row>
    <row r="119" spans="2:10" ht="20.100000000000001" customHeight="1" thickBot="1">
      <c r="B119" s="75" t="s">
        <v>7</v>
      </c>
      <c r="C119" s="95" t="e">
        <f t="shared" ref="C119:H119" si="41">C118/C12</f>
        <v>#DIV/0!</v>
      </c>
      <c r="D119" s="95" t="e">
        <f t="shared" si="41"/>
        <v>#DIV/0!</v>
      </c>
      <c r="E119" s="95" t="e">
        <f t="shared" si="41"/>
        <v>#DIV/0!</v>
      </c>
      <c r="F119" s="95" t="e">
        <f t="shared" si="41"/>
        <v>#DIV/0!</v>
      </c>
      <c r="G119" s="95" t="e">
        <f t="shared" si="41"/>
        <v>#DIV/0!</v>
      </c>
      <c r="H119" s="95" t="e">
        <f t="shared" si="41"/>
        <v>#DIV/0!</v>
      </c>
      <c r="I119" s="41"/>
      <c r="J119" s="42"/>
    </row>
    <row r="120" spans="2:10" ht="20.100000000000001" customHeight="1">
      <c r="B120" s="77" t="s">
        <v>50</v>
      </c>
      <c r="C120" s="506" t="e">
        <f>C106+C108+C110+C112+C114+C116+C118</f>
        <v>#N/A</v>
      </c>
      <c r="D120" s="506" t="e">
        <f t="shared" ref="D120:H120" si="42">D106+D108+D110+D112+D114+D116+D118</f>
        <v>#N/A</v>
      </c>
      <c r="E120" s="506" t="e">
        <f t="shared" si="42"/>
        <v>#N/A</v>
      </c>
      <c r="F120" s="506" t="e">
        <f t="shared" si="42"/>
        <v>#N/A</v>
      </c>
      <c r="G120" s="506" t="e">
        <f t="shared" si="42"/>
        <v>#N/A</v>
      </c>
      <c r="H120" s="506" t="e">
        <f t="shared" si="42"/>
        <v>#N/A</v>
      </c>
      <c r="I120" s="44"/>
      <c r="J120" s="45"/>
    </row>
    <row r="121" spans="2:10" ht="20.100000000000001" customHeight="1" thickBot="1">
      <c r="B121" s="71" t="s">
        <v>5</v>
      </c>
      <c r="C121" s="70" t="e">
        <f t="shared" ref="C121:H121" si="43">C120/C12</f>
        <v>#N/A</v>
      </c>
      <c r="D121" s="70" t="e">
        <f t="shared" si="43"/>
        <v>#N/A</v>
      </c>
      <c r="E121" s="70" t="e">
        <f t="shared" si="43"/>
        <v>#N/A</v>
      </c>
      <c r="F121" s="70" t="e">
        <f t="shared" si="43"/>
        <v>#N/A</v>
      </c>
      <c r="G121" s="70" t="e">
        <f t="shared" si="43"/>
        <v>#N/A</v>
      </c>
      <c r="H121" s="90" t="e">
        <f t="shared" si="43"/>
        <v>#N/A</v>
      </c>
      <c r="I121" s="46">
        <v>15571</v>
      </c>
      <c r="J121" s="47">
        <v>20805</v>
      </c>
    </row>
    <row r="122" spans="2:10" ht="20.100000000000001" customHeight="1" thickBot="1">
      <c r="B122" s="87"/>
      <c r="C122" s="87"/>
      <c r="D122" s="87"/>
      <c r="E122" s="87"/>
      <c r="F122" s="87"/>
      <c r="G122" s="87"/>
      <c r="H122" s="87"/>
      <c r="I122" s="48"/>
      <c r="J122" s="49"/>
    </row>
    <row r="123" spans="2:10" ht="20.100000000000001" customHeight="1" thickBot="1">
      <c r="B123" s="86" t="s">
        <v>13</v>
      </c>
      <c r="C123" s="85"/>
      <c r="D123" s="85"/>
      <c r="E123" s="85"/>
      <c r="F123" s="85"/>
      <c r="G123" s="85"/>
      <c r="H123" s="85"/>
      <c r="I123" s="50"/>
      <c r="J123" s="50"/>
    </row>
    <row r="124" spans="2:10" ht="20.100000000000001" customHeight="1">
      <c r="B124" s="84" t="s">
        <v>49</v>
      </c>
      <c r="C124" s="83">
        <f>C90</f>
        <v>0</v>
      </c>
      <c r="D124" s="83">
        <f t="shared" ref="D124:H124" si="44">D90</f>
        <v>0</v>
      </c>
      <c r="E124" s="83">
        <f t="shared" si="44"/>
        <v>0</v>
      </c>
      <c r="F124" s="83">
        <f t="shared" si="44"/>
        <v>0</v>
      </c>
      <c r="G124" s="83">
        <f t="shared" si="44"/>
        <v>0</v>
      </c>
      <c r="H124" s="83">
        <f t="shared" si="44"/>
        <v>0</v>
      </c>
      <c r="I124" s="41"/>
      <c r="J124" s="42"/>
    </row>
    <row r="125" spans="2:10" ht="20.100000000000001" customHeight="1">
      <c r="B125" s="99" t="s">
        <v>5</v>
      </c>
      <c r="C125" s="82" t="e">
        <f t="shared" ref="C125:H125" si="45">C124/C12</f>
        <v>#DIV/0!</v>
      </c>
      <c r="D125" s="82" t="e">
        <f t="shared" si="45"/>
        <v>#DIV/0!</v>
      </c>
      <c r="E125" s="82" t="e">
        <f t="shared" si="45"/>
        <v>#DIV/0!</v>
      </c>
      <c r="F125" s="82" t="e">
        <f t="shared" si="45"/>
        <v>#DIV/0!</v>
      </c>
      <c r="G125" s="82" t="e">
        <f t="shared" si="45"/>
        <v>#DIV/0!</v>
      </c>
      <c r="H125" s="82" t="e">
        <f t="shared" si="45"/>
        <v>#DIV/0!</v>
      </c>
      <c r="I125" s="41">
        <v>11666</v>
      </c>
      <c r="J125" s="42">
        <v>15025</v>
      </c>
    </row>
    <row r="126" spans="2:10" ht="20.100000000000001" customHeight="1">
      <c r="B126" s="81" t="s">
        <v>48</v>
      </c>
      <c r="C126" s="80">
        <f>C87+C88+C89+C91+C92+C93</f>
        <v>0</v>
      </c>
      <c r="D126" s="80">
        <f t="shared" ref="D126:H126" si="46">D87+D88+D89+D91+D92+D93</f>
        <v>0</v>
      </c>
      <c r="E126" s="80">
        <f t="shared" si="46"/>
        <v>0</v>
      </c>
      <c r="F126" s="80">
        <f t="shared" si="46"/>
        <v>0</v>
      </c>
      <c r="G126" s="80">
        <f t="shared" si="46"/>
        <v>0</v>
      </c>
      <c r="H126" s="80">
        <f t="shared" si="46"/>
        <v>0</v>
      </c>
      <c r="I126" s="41"/>
      <c r="J126" s="42"/>
    </row>
    <row r="127" spans="2:10" ht="20.100000000000001" customHeight="1" thickBot="1">
      <c r="B127" s="79" t="s">
        <v>5</v>
      </c>
      <c r="C127" s="78" t="e">
        <f t="shared" ref="C127:H127" si="47">C126/C12</f>
        <v>#DIV/0!</v>
      </c>
      <c r="D127" s="78" t="e">
        <f t="shared" si="47"/>
        <v>#DIV/0!</v>
      </c>
      <c r="E127" s="78" t="e">
        <f t="shared" si="47"/>
        <v>#DIV/0!</v>
      </c>
      <c r="F127" s="78" t="e">
        <f t="shared" si="47"/>
        <v>#DIV/0!</v>
      </c>
      <c r="G127" s="78" t="e">
        <f t="shared" si="47"/>
        <v>#DIV/0!</v>
      </c>
      <c r="H127" s="78" t="e">
        <f t="shared" si="47"/>
        <v>#DIV/0!</v>
      </c>
      <c r="I127" s="46">
        <v>3053</v>
      </c>
      <c r="J127" s="47">
        <v>5144</v>
      </c>
    </row>
    <row r="128" spans="2:10" ht="20.100000000000001" customHeight="1">
      <c r="B128" s="77" t="s">
        <v>47</v>
      </c>
      <c r="C128" s="76">
        <f>C124+C126</f>
        <v>0</v>
      </c>
      <c r="D128" s="76">
        <f t="shared" ref="D128:H128" si="48">D124+D126</f>
        <v>0</v>
      </c>
      <c r="E128" s="76">
        <f t="shared" si="48"/>
        <v>0</v>
      </c>
      <c r="F128" s="76">
        <f t="shared" si="48"/>
        <v>0</v>
      </c>
      <c r="G128" s="76">
        <f t="shared" si="48"/>
        <v>0</v>
      </c>
      <c r="H128" s="76">
        <f t="shared" si="48"/>
        <v>0</v>
      </c>
      <c r="I128" s="44"/>
      <c r="J128" s="45"/>
    </row>
    <row r="129" spans="2:10" ht="20.100000000000001" customHeight="1" thickBot="1">
      <c r="B129" s="75" t="s">
        <v>5</v>
      </c>
      <c r="C129" s="74" t="e">
        <f t="shared" ref="C129:H129" si="49">C128/C12</f>
        <v>#DIV/0!</v>
      </c>
      <c r="D129" s="74" t="e">
        <f t="shared" si="49"/>
        <v>#DIV/0!</v>
      </c>
      <c r="E129" s="74" t="e">
        <f t="shared" si="49"/>
        <v>#DIV/0!</v>
      </c>
      <c r="F129" s="74" t="e">
        <f t="shared" si="49"/>
        <v>#DIV/0!</v>
      </c>
      <c r="G129" s="74" t="e">
        <f t="shared" si="49"/>
        <v>#DIV/0!</v>
      </c>
      <c r="H129" s="74" t="e">
        <f t="shared" si="49"/>
        <v>#DIV/0!</v>
      </c>
      <c r="I129" s="46">
        <v>15396</v>
      </c>
      <c r="J129" s="47">
        <v>19557</v>
      </c>
    </row>
    <row r="130" spans="2:10" ht="20.100000000000001" customHeight="1">
      <c r="B130" s="73" t="s">
        <v>14</v>
      </c>
      <c r="C130" s="72" t="e">
        <f t="shared" ref="C130" si="50">C120-C128</f>
        <v>#N/A</v>
      </c>
      <c r="D130" s="72" t="e">
        <f t="shared" ref="D130:H130" si="51">D120-D128</f>
        <v>#N/A</v>
      </c>
      <c r="E130" s="72" t="e">
        <f t="shared" si="51"/>
        <v>#N/A</v>
      </c>
      <c r="F130" s="72" t="e">
        <f t="shared" si="51"/>
        <v>#N/A</v>
      </c>
      <c r="G130" s="72" t="e">
        <f t="shared" si="51"/>
        <v>#N/A</v>
      </c>
      <c r="H130" s="72" t="e">
        <f t="shared" si="51"/>
        <v>#N/A</v>
      </c>
      <c r="I130" s="53"/>
    </row>
    <row r="131" spans="2:10" ht="20.100000000000001" customHeight="1" thickBot="1">
      <c r="B131" s="71" t="s">
        <v>5</v>
      </c>
      <c r="C131" s="70" t="e">
        <f t="shared" ref="C131:H131" si="52">C130/C12</f>
        <v>#N/A</v>
      </c>
      <c r="D131" s="70" t="e">
        <f t="shared" si="52"/>
        <v>#N/A</v>
      </c>
      <c r="E131" s="70" t="e">
        <f t="shared" si="52"/>
        <v>#N/A</v>
      </c>
      <c r="F131" s="70" t="e">
        <f t="shared" si="52"/>
        <v>#N/A</v>
      </c>
      <c r="G131" s="70" t="e">
        <f t="shared" si="52"/>
        <v>#N/A</v>
      </c>
      <c r="H131" s="70" t="e">
        <f t="shared" si="52"/>
        <v>#N/A</v>
      </c>
      <c r="I131" s="53"/>
    </row>
    <row r="132" spans="2:10" ht="15">
      <c r="B132" s="69"/>
      <c r="C132" s="68" t="e">
        <f>C107+C109+C111+C113+C115+C117+C119-C125-C127</f>
        <v>#N/A</v>
      </c>
      <c r="D132" s="68" t="e">
        <f t="shared" ref="D132:H132" si="53">D107+D109+D111+D113+D115+D117+D119-D125-D127</f>
        <v>#N/A</v>
      </c>
      <c r="E132" s="68" t="e">
        <f t="shared" si="53"/>
        <v>#N/A</v>
      </c>
      <c r="F132" s="68" t="e">
        <f t="shared" si="53"/>
        <v>#N/A</v>
      </c>
      <c r="G132" s="68" t="e">
        <f t="shared" si="53"/>
        <v>#N/A</v>
      </c>
      <c r="H132" s="68" t="e">
        <f t="shared" si="53"/>
        <v>#N/A</v>
      </c>
      <c r="I132" s="53"/>
    </row>
    <row r="133" spans="2:10" ht="15">
      <c r="C133" s="68" t="e">
        <f t="shared" ref="C133:H133" si="54">C9/C12</f>
        <v>#N/A</v>
      </c>
      <c r="D133" s="68" t="e">
        <f t="shared" si="54"/>
        <v>#N/A</v>
      </c>
      <c r="E133" s="68" t="e">
        <f t="shared" si="54"/>
        <v>#N/A</v>
      </c>
      <c r="F133" s="68" t="e">
        <f t="shared" si="54"/>
        <v>#N/A</v>
      </c>
      <c r="G133" s="68" t="e">
        <f t="shared" si="54"/>
        <v>#N/A</v>
      </c>
      <c r="H133" s="68" t="e">
        <f t="shared" si="54"/>
        <v>#N/A</v>
      </c>
      <c r="I133" s="53"/>
    </row>
    <row r="134" spans="2:10" ht="15">
      <c r="I134" s="53"/>
    </row>
    <row r="135" spans="2:10" ht="15.75" thickBot="1">
      <c r="I135" s="53"/>
    </row>
    <row r="136" spans="2:10" ht="21.95" customHeight="1" thickBot="1">
      <c r="C136" s="689" t="s">
        <v>261</v>
      </c>
      <c r="D136" s="690"/>
      <c r="E136" s="690"/>
      <c r="F136" s="690"/>
      <c r="G136" s="690"/>
      <c r="H136" s="691"/>
      <c r="I136" s="53"/>
    </row>
    <row r="137" spans="2:10" ht="20.100000000000001" customHeight="1">
      <c r="B137" s="67" t="s">
        <v>41</v>
      </c>
      <c r="C137" s="65" t="str">
        <f t="shared" ref="C137:H138" si="55">C103</f>
        <v>PREVI</v>
      </c>
      <c r="D137" s="65">
        <f t="shared" si="55"/>
        <v>0</v>
      </c>
      <c r="E137" s="65">
        <f t="shared" si="55"/>
        <v>0</v>
      </c>
      <c r="F137" s="65">
        <f t="shared" si="55"/>
        <v>0</v>
      </c>
      <c r="G137" s="65">
        <f t="shared" si="55"/>
        <v>0</v>
      </c>
      <c r="H137" s="65">
        <f t="shared" si="55"/>
        <v>0</v>
      </c>
      <c r="I137" s="53"/>
    </row>
    <row r="138" spans="2:10" ht="20.100000000000001" customHeight="1" thickBot="1">
      <c r="B138" s="66"/>
      <c r="C138" s="65">
        <f t="shared" si="55"/>
        <v>0</v>
      </c>
      <c r="D138" s="65">
        <f t="shared" si="55"/>
        <v>0</v>
      </c>
      <c r="E138" s="65">
        <f t="shared" si="55"/>
        <v>0</v>
      </c>
      <c r="F138" s="65">
        <f t="shared" si="55"/>
        <v>0</v>
      </c>
      <c r="G138" s="65">
        <f t="shared" si="55"/>
        <v>0</v>
      </c>
      <c r="H138" s="65">
        <f t="shared" si="55"/>
        <v>0</v>
      </c>
      <c r="I138" s="53"/>
    </row>
    <row r="139" spans="2:10" ht="20.100000000000001" customHeight="1">
      <c r="B139" s="64" t="str">
        <f t="shared" ref="B139:H139" si="56">B12</f>
        <v>Nbre. de places agréées</v>
      </c>
      <c r="C139" s="64">
        <f t="shared" si="56"/>
        <v>0</v>
      </c>
      <c r="D139" s="64">
        <f t="shared" si="56"/>
        <v>0</v>
      </c>
      <c r="E139" s="64">
        <f t="shared" si="56"/>
        <v>0</v>
      </c>
      <c r="F139" s="64">
        <f t="shared" si="56"/>
        <v>0</v>
      </c>
      <c r="G139" s="64">
        <f t="shared" si="56"/>
        <v>0</v>
      </c>
      <c r="H139" s="64">
        <f t="shared" si="56"/>
        <v>0</v>
      </c>
      <c r="I139" s="53"/>
    </row>
    <row r="140" spans="2:10" ht="20.100000000000001" customHeight="1">
      <c r="B140" s="58" t="str">
        <f t="shared" ref="B140:H141" si="57">B16</f>
        <v>Nbre. jours d'accueil</v>
      </c>
      <c r="C140" s="58">
        <f t="shared" si="57"/>
        <v>0</v>
      </c>
      <c r="D140" s="58">
        <f t="shared" si="57"/>
        <v>0</v>
      </c>
      <c r="E140" s="58">
        <f t="shared" si="57"/>
        <v>0</v>
      </c>
      <c r="F140" s="58">
        <f t="shared" si="57"/>
        <v>0</v>
      </c>
      <c r="G140" s="58">
        <f t="shared" si="57"/>
        <v>0</v>
      </c>
      <c r="H140" s="58">
        <f t="shared" si="57"/>
        <v>0</v>
      </c>
      <c r="I140" s="53"/>
    </row>
    <row r="141" spans="2:10" ht="20.100000000000001" customHeight="1">
      <c r="B141" s="60" t="str">
        <f t="shared" si="57"/>
        <v>Nbre.heures ouverture par jour (Amplitude horaire)</v>
      </c>
      <c r="C141" s="60">
        <f t="shared" si="57"/>
        <v>0</v>
      </c>
      <c r="D141" s="60">
        <f t="shared" si="57"/>
        <v>0</v>
      </c>
      <c r="E141" s="60">
        <f t="shared" si="57"/>
        <v>0</v>
      </c>
      <c r="F141" s="60">
        <f t="shared" si="57"/>
        <v>0</v>
      </c>
      <c r="G141" s="60">
        <f t="shared" si="57"/>
        <v>0</v>
      </c>
      <c r="H141" s="60">
        <f t="shared" si="57"/>
        <v>0</v>
      </c>
      <c r="I141" s="53"/>
    </row>
    <row r="142" spans="2:10" ht="20.100000000000001" customHeight="1">
      <c r="B142" s="58" t="str">
        <f t="shared" ref="B142:H144" si="58">B25</f>
        <v>Capacité théorique (Nombre d'heures Théoriques (H.Théo.))</v>
      </c>
      <c r="C142" s="59">
        <f t="shared" si="58"/>
        <v>0</v>
      </c>
      <c r="D142" s="59">
        <f t="shared" si="58"/>
        <v>0</v>
      </c>
      <c r="E142" s="59">
        <f t="shared" si="58"/>
        <v>0</v>
      </c>
      <c r="F142" s="59">
        <f t="shared" si="58"/>
        <v>0</v>
      </c>
      <c r="G142" s="59">
        <f t="shared" si="58"/>
        <v>0</v>
      </c>
      <c r="H142" s="59">
        <f t="shared" si="58"/>
        <v>0</v>
      </c>
      <c r="I142" s="53"/>
    </row>
    <row r="143" spans="2:10" ht="20.100000000000001" customHeight="1">
      <c r="B143" s="57" t="str">
        <f t="shared" si="58"/>
        <v>Nombre d'heures facturées (H.Fact.)</v>
      </c>
      <c r="C143" s="63">
        <f t="shared" si="58"/>
        <v>0</v>
      </c>
      <c r="D143" s="63">
        <f t="shared" si="58"/>
        <v>0</v>
      </c>
      <c r="E143" s="63">
        <f t="shared" si="58"/>
        <v>0</v>
      </c>
      <c r="F143" s="63">
        <f t="shared" si="58"/>
        <v>0</v>
      </c>
      <c r="G143" s="63">
        <f t="shared" si="58"/>
        <v>0</v>
      </c>
      <c r="H143" s="63">
        <f t="shared" si="58"/>
        <v>0</v>
      </c>
      <c r="I143" s="53"/>
    </row>
    <row r="144" spans="2:10" ht="20.100000000000001" customHeight="1">
      <c r="B144" s="62" t="str">
        <f t="shared" si="58"/>
        <v>Nbre. heures facturées en moyenne par agrément par jour</v>
      </c>
      <c r="C144" s="61" t="e">
        <f t="shared" si="58"/>
        <v>#DIV/0!</v>
      </c>
      <c r="D144" s="61" t="e">
        <f t="shared" si="58"/>
        <v>#DIV/0!</v>
      </c>
      <c r="E144" s="61" t="e">
        <f t="shared" si="58"/>
        <v>#DIV/0!</v>
      </c>
      <c r="F144" s="61" t="e">
        <f t="shared" si="58"/>
        <v>#DIV/0!</v>
      </c>
      <c r="G144" s="61" t="e">
        <f t="shared" si="58"/>
        <v>#DIV/0!</v>
      </c>
      <c r="H144" s="61" t="e">
        <f t="shared" si="58"/>
        <v>#DIV/0!</v>
      </c>
      <c r="I144" s="53"/>
    </row>
    <row r="145" spans="2:9" ht="20.100000000000001" customHeight="1">
      <c r="B145" s="60" t="str">
        <f t="shared" ref="B145:H148" si="59">B30</f>
        <v>Taux d'occupation financier (H.Fact./H.Théo.)</v>
      </c>
      <c r="C145" s="32">
        <f t="shared" si="59"/>
        <v>0</v>
      </c>
      <c r="D145" s="32">
        <f t="shared" si="59"/>
        <v>0</v>
      </c>
      <c r="E145" s="32">
        <f t="shared" si="59"/>
        <v>0</v>
      </c>
      <c r="F145" s="32">
        <f t="shared" si="59"/>
        <v>0</v>
      </c>
      <c r="G145" s="32">
        <f t="shared" si="59"/>
        <v>0</v>
      </c>
      <c r="H145" s="32">
        <f t="shared" si="59"/>
        <v>0</v>
      </c>
      <c r="I145" s="53"/>
    </row>
    <row r="146" spans="2:9" ht="20.100000000000001" customHeight="1">
      <c r="B146" s="58" t="str">
        <f t="shared" si="59"/>
        <v>Nombre d'heures de présence réelle (H.Réelles)</v>
      </c>
      <c r="C146" s="59">
        <f t="shared" si="59"/>
        <v>0</v>
      </c>
      <c r="D146" s="59">
        <f t="shared" si="59"/>
        <v>0</v>
      </c>
      <c r="E146" s="59">
        <f t="shared" si="59"/>
        <v>0</v>
      </c>
      <c r="F146" s="59">
        <f t="shared" si="59"/>
        <v>0</v>
      </c>
      <c r="G146" s="59">
        <f t="shared" si="59"/>
        <v>0</v>
      </c>
      <c r="H146" s="59">
        <f t="shared" si="59"/>
        <v>0</v>
      </c>
      <c r="I146" s="53"/>
    </row>
    <row r="147" spans="2:9" ht="20.100000000000001" customHeight="1">
      <c r="B147" s="10" t="str">
        <f t="shared" si="59"/>
        <v>Taux de facturation (H.Fact./H.Réelles)</v>
      </c>
      <c r="C147" s="34">
        <f t="shared" si="59"/>
        <v>0</v>
      </c>
      <c r="D147" s="34">
        <f t="shared" si="59"/>
        <v>0</v>
      </c>
      <c r="E147" s="34">
        <f t="shared" si="59"/>
        <v>0</v>
      </c>
      <c r="F147" s="34">
        <f t="shared" si="59"/>
        <v>0</v>
      </c>
      <c r="G147" s="34">
        <f t="shared" si="59"/>
        <v>0</v>
      </c>
      <c r="H147" s="34">
        <f t="shared" si="59"/>
        <v>0</v>
      </c>
      <c r="I147" s="53"/>
    </row>
    <row r="148" spans="2:9" ht="20.100000000000001" customHeight="1">
      <c r="B148" s="58" t="str">
        <f t="shared" si="59"/>
        <v>Taux d'occupation réel (H.Réelles/H.Théo)</v>
      </c>
      <c r="C148" s="33">
        <f t="shared" si="59"/>
        <v>0</v>
      </c>
      <c r="D148" s="33">
        <f t="shared" si="59"/>
        <v>0</v>
      </c>
      <c r="E148" s="33">
        <f t="shared" si="59"/>
        <v>0</v>
      </c>
      <c r="F148" s="33">
        <f t="shared" si="59"/>
        <v>0</v>
      </c>
      <c r="G148" s="33">
        <f t="shared" si="59"/>
        <v>0</v>
      </c>
      <c r="H148" s="33">
        <f t="shared" si="59"/>
        <v>0</v>
      </c>
    </row>
    <row r="149" spans="2:9" ht="20.100000000000001" customHeight="1">
      <c r="B149" s="57" t="str">
        <f t="shared" ref="B149:H149" si="60">B35</f>
        <v>Prix de Revient Horaire (Total des charges divisé par H.Réelles)</v>
      </c>
      <c r="C149" s="56">
        <f t="shared" si="60"/>
        <v>0</v>
      </c>
      <c r="D149" s="56">
        <f t="shared" si="60"/>
        <v>0</v>
      </c>
      <c r="E149" s="56">
        <f t="shared" si="60"/>
        <v>0</v>
      </c>
      <c r="F149" s="56">
        <f t="shared" si="60"/>
        <v>0</v>
      </c>
      <c r="G149" s="56">
        <f t="shared" si="60"/>
        <v>0</v>
      </c>
      <c r="H149" s="56">
        <f t="shared" si="60"/>
        <v>0</v>
      </c>
    </row>
    <row r="150" spans="2:9" ht="20.100000000000001" customHeight="1" thickBot="1">
      <c r="B150" s="55" t="s">
        <v>40</v>
      </c>
      <c r="C150" s="54" t="e">
        <f t="shared" ref="C150:H150" si="61">C36</f>
        <v>#N/A</v>
      </c>
      <c r="D150" s="54" t="e">
        <f t="shared" si="61"/>
        <v>#N/A</v>
      </c>
      <c r="E150" s="54" t="e">
        <f t="shared" si="61"/>
        <v>#N/A</v>
      </c>
      <c r="F150" s="54" t="e">
        <f t="shared" si="61"/>
        <v>#N/A</v>
      </c>
      <c r="G150" s="54" t="e">
        <f t="shared" si="61"/>
        <v>#N/A</v>
      </c>
      <c r="H150" s="54" t="e">
        <f t="shared" si="61"/>
        <v>#N/A</v>
      </c>
    </row>
  </sheetData>
  <sheetProtection sheet="1" formatCells="0" formatColumns="0" formatRows="0"/>
  <mergeCells count="10">
    <mergeCell ref="C1:F1"/>
    <mergeCell ref="A5:A8"/>
    <mergeCell ref="B11:H11"/>
    <mergeCell ref="A18:A24"/>
    <mergeCell ref="A62:A63"/>
    <mergeCell ref="I100:J102"/>
    <mergeCell ref="C102:H102"/>
    <mergeCell ref="C136:H136"/>
    <mergeCell ref="B86:H86"/>
    <mergeCell ref="B72:H72"/>
  </mergeCells>
  <conditionalFormatting sqref="C6:E7 G6:H7">
    <cfRule type="containsText" dxfId="15" priority="7" operator="containsText" text="NON">
      <formula>NOT(ISERROR(SEARCH("NON",C6)))</formula>
    </cfRule>
    <cfRule type="containsText" dxfId="14" priority="8" operator="containsText" text="OUI">
      <formula>NOT(ISERROR(SEARCH("OUI",C6)))</formula>
    </cfRule>
  </conditionalFormatting>
  <conditionalFormatting sqref="C62:H62">
    <cfRule type="containsText" dxfId="13" priority="5" operator="containsText" text="NON">
      <formula>NOT(ISERROR(SEARCH("NON",C62)))</formula>
    </cfRule>
    <cfRule type="containsText" dxfId="12" priority="6" operator="containsText" text="OUI">
      <formula>NOT(ISERROR(SEARCH("OUI",C62)))</formula>
    </cfRule>
  </conditionalFormatting>
  <conditionalFormatting sqref="F6:F7">
    <cfRule type="containsText" dxfId="11" priority="3" operator="containsText" text="NON">
      <formula>NOT(ISERROR(SEARCH("NON",F6)))</formula>
    </cfRule>
    <cfRule type="containsText" dxfId="10" priority="4" operator="containsText" text="OUI">
      <formula>NOT(ISERROR(SEARCH("OUI",F6)))</formula>
    </cfRule>
  </conditionalFormatting>
  <conditionalFormatting sqref="G62">
    <cfRule type="containsText" dxfId="9" priority="1" operator="containsText" text="NON">
      <formula>NOT(ISERROR(SEARCH("NON",G62)))</formula>
    </cfRule>
    <cfRule type="containsText" dxfId="8" priority="2" operator="containsText" text="OUI">
      <formula>NOT(ISERROR(SEARCH("OUI",G62)))</formula>
    </cfRule>
  </conditionalFormatting>
  <dataValidations count="1">
    <dataValidation type="list" allowBlank="1" showInputMessage="1" showErrorMessage="1" sqref="C6:H7 C62:H62">
      <formula1>$K$1:$K$2</formula1>
    </dataValidation>
  </dataValidations>
  <pageMargins left="0.78740157499999996" right="0.78740157499999996" top="0.97986111111111107" bottom="0.97986111111111107" header="0.51180555555555551" footer="0.51180555555555551"/>
  <pageSetup paperSize="9" scale="76" firstPageNumber="0" fitToHeight="2" orientation="portrait" horizontalDpi="300" verticalDpi="300"/>
  <headerFooter alignWithMargins="0"/>
  <rowBreaks count="1" manualBreakCount="1">
    <brk id="83" max="16383" man="1"/>
  </rowBreaks>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1"/>
  <sheetViews>
    <sheetView showZeros="0" tabSelected="1" zoomScale="78" zoomScaleNormal="78" workbookViewId="0">
      <pane xSplit="2" ySplit="9" topLeftCell="C10" activePane="bottomRight" state="frozen"/>
      <selection pane="topRight" activeCell="C1" sqref="C1"/>
      <selection pane="bottomLeft" activeCell="A10" sqref="A10"/>
      <selection pane="bottomRight" activeCell="J11" sqref="J11"/>
    </sheetView>
  </sheetViews>
  <sheetFormatPr baseColWidth="10" defaultColWidth="10.875" defaultRowHeight="12.75"/>
  <cols>
    <col min="1" max="1" width="12.625" style="51" customWidth="1"/>
    <col min="2" max="2" width="71.875" style="51" customWidth="1"/>
    <col min="3" max="8" width="14.875" style="51" customWidth="1"/>
    <col min="9" max="9" width="14.875" style="52" customWidth="1"/>
    <col min="10" max="10" width="14.875" style="51" customWidth="1"/>
    <col min="11" max="11" width="10.625" style="51" hidden="1" customWidth="1"/>
    <col min="12" max="12" width="14.5" style="341" hidden="1" customWidth="1"/>
    <col min="13" max="13" width="60.5" style="51" bestFit="1" customWidth="1"/>
    <col min="14" max="15" width="10.625" style="51" customWidth="1"/>
    <col min="16" max="17" width="13.125" style="51" customWidth="1"/>
    <col min="18" max="18" width="25.125" style="51" customWidth="1"/>
    <col min="19" max="33" width="10.625" style="51" customWidth="1"/>
    <col min="34" max="16384" width="10.875" style="51"/>
  </cols>
  <sheetData>
    <row r="1" spans="1:17" ht="25.5" thickBot="1">
      <c r="B1" s="449" t="str">
        <f>'0-ACCUEIL &amp; PARAMETRES'!C4</f>
        <v>XXXXXXXX</v>
      </c>
      <c r="C1" s="698" t="s">
        <v>320</v>
      </c>
      <c r="D1" s="699"/>
      <c r="E1" s="699"/>
      <c r="F1" s="699"/>
      <c r="G1" s="148" t="s">
        <v>43</v>
      </c>
      <c r="H1" s="369">
        <f ca="1">TODAY()</f>
        <v>43813</v>
      </c>
      <c r="K1" s="2" t="s">
        <v>27</v>
      </c>
      <c r="L1" s="341" t="s">
        <v>252</v>
      </c>
    </row>
    <row r="2" spans="1:17" ht="24.95" customHeight="1" thickBot="1">
      <c r="A2" s="465" t="s">
        <v>23</v>
      </c>
      <c r="B2" s="424" t="s">
        <v>267</v>
      </c>
      <c r="K2" s="9" t="s">
        <v>28</v>
      </c>
    </row>
    <row r="3" spans="1:17" ht="20.100000000000001" customHeight="1">
      <c r="A3" s="465" t="s">
        <v>23</v>
      </c>
      <c r="B3" s="147" t="s">
        <v>26</v>
      </c>
      <c r="C3" s="250" t="s">
        <v>323</v>
      </c>
      <c r="D3" s="250"/>
      <c r="E3" s="250"/>
      <c r="F3" s="250"/>
      <c r="G3" s="250"/>
      <c r="H3" s="251"/>
      <c r="I3" s="107"/>
    </row>
    <row r="4" spans="1:17" ht="20.100000000000001" customHeight="1" thickBot="1">
      <c r="A4" s="465" t="s">
        <v>23</v>
      </c>
      <c r="B4" s="146" t="s">
        <v>25</v>
      </c>
      <c r="C4" s="209"/>
      <c r="D4" s="209"/>
      <c r="E4" s="209"/>
      <c r="F4" s="209"/>
      <c r="G4" s="209"/>
      <c r="H4" s="209"/>
      <c r="I4" s="107"/>
    </row>
    <row r="5" spans="1:17" ht="15.95" customHeight="1" thickBot="1">
      <c r="A5" s="700" t="s">
        <v>304</v>
      </c>
    </row>
    <row r="6" spans="1:17" ht="20.100000000000001" customHeight="1" thickBot="1">
      <c r="A6" s="700"/>
      <c r="B6" s="144" t="s">
        <v>30</v>
      </c>
      <c r="C6" s="145" t="s">
        <v>27</v>
      </c>
      <c r="D6" s="145" t="s">
        <v>27</v>
      </c>
      <c r="E6" s="145" t="s">
        <v>27</v>
      </c>
      <c r="F6" s="145" t="s">
        <v>27</v>
      </c>
      <c r="G6" s="145" t="s">
        <v>27</v>
      </c>
      <c r="H6" s="145" t="s">
        <v>27</v>
      </c>
      <c r="I6" s="107"/>
    </row>
    <row r="7" spans="1:17" ht="20.100000000000001" customHeight="1" thickBot="1">
      <c r="A7" s="700"/>
      <c r="B7" s="144" t="s">
        <v>34</v>
      </c>
      <c r="C7" s="143" t="s">
        <v>28</v>
      </c>
      <c r="D7" s="143" t="s">
        <v>28</v>
      </c>
      <c r="E7" s="143" t="s">
        <v>28</v>
      </c>
      <c r="F7" s="143" t="s">
        <v>28</v>
      </c>
      <c r="G7" s="143" t="s">
        <v>28</v>
      </c>
      <c r="H7" s="143" t="s">
        <v>28</v>
      </c>
      <c r="I7" s="107"/>
    </row>
    <row r="8" spans="1:17" ht="15.95" customHeight="1" thickBot="1">
      <c r="A8" s="700"/>
      <c r="B8" s="142"/>
      <c r="C8" s="8" t="e">
        <f>MATCH(C4,'0-ACCUEIL &amp; PARAMETRES'!$F$18:$N$18)+1</f>
        <v>#N/A</v>
      </c>
      <c r="D8" s="8" t="e">
        <f>MATCH(D4,'0-ACCUEIL &amp; PARAMETRES'!$F$18:$N$18)+1</f>
        <v>#N/A</v>
      </c>
      <c r="E8" s="8" t="e">
        <f>MATCH(E4,'0-ACCUEIL &amp; PARAMETRES'!$F$18:$N$18)+1</f>
        <v>#N/A</v>
      </c>
      <c r="F8" s="8" t="e">
        <f>MATCH(F4,'0-ACCUEIL &amp; PARAMETRES'!$F$18:$N$18)+1</f>
        <v>#N/A</v>
      </c>
      <c r="G8" s="8" t="e">
        <f>MATCH(G4,'0-ACCUEIL &amp; PARAMETRES'!$F$18:$N$18)+1</f>
        <v>#N/A</v>
      </c>
      <c r="H8" s="8" t="e">
        <f>MATCH(H4,'0-ACCUEIL &amp; PARAMETRES'!$F$18:$N$18)+1</f>
        <v>#N/A</v>
      </c>
    </row>
    <row r="9" spans="1:17" ht="20.100000000000001" customHeight="1" thickBot="1">
      <c r="A9" s="466"/>
      <c r="B9" s="141" t="s">
        <v>4</v>
      </c>
      <c r="C9" s="140"/>
      <c r="D9" s="140" t="e">
        <f t="shared" ref="D9:H9" si="0">D$119-D$193</f>
        <v>#N/A</v>
      </c>
      <c r="E9" s="140" t="e">
        <f t="shared" si="0"/>
        <v>#N/A</v>
      </c>
      <c r="F9" s="140" t="e">
        <f t="shared" si="0"/>
        <v>#N/A</v>
      </c>
      <c r="G9" s="140" t="e">
        <f t="shared" si="0"/>
        <v>#N/A</v>
      </c>
      <c r="H9" s="140" t="e">
        <f t="shared" si="0"/>
        <v>#N/A</v>
      </c>
      <c r="I9" s="107"/>
    </row>
    <row r="10" spans="1:17" ht="15.95" customHeight="1" thickBot="1">
      <c r="A10" s="466"/>
      <c r="B10" s="139"/>
      <c r="C10" s="138"/>
      <c r="D10" s="138"/>
      <c r="E10" s="138"/>
      <c r="F10" s="138"/>
      <c r="G10" s="138"/>
      <c r="H10" s="138"/>
      <c r="Q10" s="124"/>
    </row>
    <row r="11" spans="1:17" ht="20.100000000000001" customHeight="1" thickBot="1">
      <c r="A11" s="492"/>
      <c r="B11" s="701" t="s">
        <v>24</v>
      </c>
      <c r="C11" s="702"/>
      <c r="D11" s="702"/>
      <c r="E11" s="702"/>
      <c r="F11" s="702"/>
      <c r="G11" s="702"/>
      <c r="H11" s="703"/>
      <c r="I11" s="107"/>
      <c r="Q11" s="135"/>
    </row>
    <row r="12" spans="1:17" ht="20.100000000000001" customHeight="1">
      <c r="A12" s="468" t="s">
        <v>23</v>
      </c>
      <c r="B12" s="368" t="s">
        <v>225</v>
      </c>
      <c r="C12" s="252"/>
      <c r="D12" s="252"/>
      <c r="E12" s="252"/>
      <c r="F12" s="252"/>
      <c r="G12" s="252"/>
      <c r="H12" s="252"/>
      <c r="I12" s="107"/>
      <c r="Q12" s="119"/>
    </row>
    <row r="13" spans="1:17" ht="20.100000000000001" customHeight="1">
      <c r="A13" s="468" t="s">
        <v>23</v>
      </c>
      <c r="B13" s="367" t="s">
        <v>226</v>
      </c>
      <c r="C13" s="253"/>
      <c r="D13" s="253"/>
      <c r="E13" s="253"/>
      <c r="F13" s="253"/>
      <c r="G13" s="253"/>
      <c r="H13" s="253"/>
      <c r="I13" s="107"/>
      <c r="Q13" s="135"/>
    </row>
    <row r="14" spans="1:17" ht="20.100000000000001" customHeight="1">
      <c r="A14" s="468" t="s">
        <v>23</v>
      </c>
      <c r="B14" s="367" t="s">
        <v>227</v>
      </c>
      <c r="C14" s="253"/>
      <c r="D14" s="253"/>
      <c r="E14" s="253"/>
      <c r="F14" s="253"/>
      <c r="G14" s="253"/>
      <c r="H14" s="253"/>
      <c r="I14" s="107"/>
      <c r="Q14" s="119"/>
    </row>
    <row r="15" spans="1:17" ht="20.100000000000001" customHeight="1">
      <c r="A15" s="468" t="s">
        <v>23</v>
      </c>
      <c r="B15" s="367" t="s">
        <v>228</v>
      </c>
      <c r="C15" s="253"/>
      <c r="D15" s="253"/>
      <c r="E15" s="253"/>
      <c r="F15" s="253"/>
      <c r="G15" s="253"/>
      <c r="H15" s="253"/>
      <c r="I15" s="107"/>
      <c r="Q15" s="135"/>
    </row>
    <row r="16" spans="1:17" ht="20.100000000000001" customHeight="1">
      <c r="A16" s="467"/>
      <c r="B16" s="367" t="s">
        <v>229</v>
      </c>
      <c r="C16" s="137"/>
      <c r="D16" s="137">
        <f t="shared" ref="D16:H16" si="1">(D14*D13)-D15</f>
        <v>0</v>
      </c>
      <c r="E16" s="137">
        <f t="shared" si="1"/>
        <v>0</v>
      </c>
      <c r="F16" s="137">
        <f t="shared" si="1"/>
        <v>0</v>
      </c>
      <c r="G16" s="137">
        <f t="shared" si="1"/>
        <v>0</v>
      </c>
      <c r="H16" s="137">
        <f t="shared" si="1"/>
        <v>0</v>
      </c>
      <c r="I16" s="107"/>
      <c r="Q16" s="119"/>
    </row>
    <row r="17" spans="1:17" ht="20.100000000000001" customHeight="1" thickBot="1">
      <c r="A17" s="468" t="s">
        <v>23</v>
      </c>
      <c r="B17" s="367" t="s">
        <v>230</v>
      </c>
      <c r="C17" s="254"/>
      <c r="D17" s="254"/>
      <c r="E17" s="254"/>
      <c r="F17" s="254"/>
      <c r="G17" s="254"/>
      <c r="H17" s="254"/>
      <c r="I17" s="107"/>
      <c r="Q17" s="135"/>
    </row>
    <row r="18" spans="1:17" ht="20.100000000000001" customHeight="1">
      <c r="A18" s="704" t="s">
        <v>303</v>
      </c>
      <c r="B18" s="134" t="s">
        <v>32</v>
      </c>
      <c r="C18" s="255"/>
      <c r="D18" s="255"/>
      <c r="E18" s="255"/>
      <c r="F18" s="255"/>
      <c r="G18" s="255"/>
      <c r="H18" s="255"/>
      <c r="I18" s="107"/>
      <c r="Q18" s="135"/>
    </row>
    <row r="19" spans="1:17" ht="20.100000000000001" customHeight="1" thickBot="1">
      <c r="A19" s="705"/>
      <c r="B19" s="133" t="s">
        <v>33</v>
      </c>
      <c r="C19" s="256"/>
      <c r="D19" s="256"/>
      <c r="E19" s="256"/>
      <c r="F19" s="256"/>
      <c r="G19" s="256"/>
      <c r="H19" s="256"/>
      <c r="I19" s="107"/>
      <c r="Q19" s="135"/>
    </row>
    <row r="20" spans="1:17" ht="20.100000000000001" customHeight="1">
      <c r="A20" s="705"/>
      <c r="B20" s="134" t="s">
        <v>32</v>
      </c>
      <c r="C20" s="255"/>
      <c r="D20" s="255"/>
      <c r="E20" s="255"/>
      <c r="F20" s="255"/>
      <c r="G20" s="255"/>
      <c r="H20" s="255"/>
      <c r="I20" s="107"/>
      <c r="Q20" s="119"/>
    </row>
    <row r="21" spans="1:17" ht="20.100000000000001" customHeight="1" thickBot="1">
      <c r="A21" s="705"/>
      <c r="B21" s="133" t="s">
        <v>33</v>
      </c>
      <c r="C21" s="256"/>
      <c r="D21" s="256"/>
      <c r="E21" s="256"/>
      <c r="F21" s="256"/>
      <c r="G21" s="256"/>
      <c r="H21" s="256"/>
      <c r="I21" s="107"/>
      <c r="Q21" s="53"/>
    </row>
    <row r="22" spans="1:17" ht="20.100000000000001" customHeight="1">
      <c r="A22" s="705"/>
      <c r="B22" s="134" t="s">
        <v>32</v>
      </c>
      <c r="C22" s="255"/>
      <c r="D22" s="255"/>
      <c r="E22" s="255"/>
      <c r="F22" s="255"/>
      <c r="G22" s="255"/>
      <c r="H22" s="255"/>
      <c r="I22" s="107"/>
      <c r="Q22" s="119"/>
    </row>
    <row r="23" spans="1:17" ht="20.100000000000001" customHeight="1" thickBot="1">
      <c r="A23" s="705"/>
      <c r="B23" s="133" t="s">
        <v>33</v>
      </c>
      <c r="C23" s="256"/>
      <c r="D23" s="256"/>
      <c r="E23" s="256"/>
      <c r="F23" s="256"/>
      <c r="G23" s="256"/>
      <c r="H23" s="256"/>
      <c r="I23" s="107"/>
      <c r="Q23" s="111"/>
    </row>
    <row r="24" spans="1:17" ht="53.1" customHeight="1" thickBot="1">
      <c r="A24" s="706"/>
      <c r="B24" s="132" t="s">
        <v>35</v>
      </c>
      <c r="C24" s="131">
        <f t="shared" ref="C24:H24" si="2">C18+C20+C22</f>
        <v>0</v>
      </c>
      <c r="D24" s="131">
        <f t="shared" si="2"/>
        <v>0</v>
      </c>
      <c r="E24" s="131">
        <f t="shared" si="2"/>
        <v>0</v>
      </c>
      <c r="F24" s="131">
        <f t="shared" si="2"/>
        <v>0</v>
      </c>
      <c r="G24" s="131">
        <f t="shared" si="2"/>
        <v>0</v>
      </c>
      <c r="H24" s="131">
        <f t="shared" si="2"/>
        <v>0</v>
      </c>
      <c r="I24" s="107"/>
      <c r="Q24" s="130"/>
    </row>
    <row r="25" spans="1:17" ht="20.100000000000001" customHeight="1">
      <c r="A25" s="405"/>
      <c r="B25" s="122" t="s">
        <v>281</v>
      </c>
      <c r="C25" s="126"/>
      <c r="D25" s="126">
        <f t="shared" ref="D25:H25" si="3">IF(D7="NON",D12*((D13*D14)-D15)*D17,((D18*D19)+(D20*D21)+(D22*D23))*D16)</f>
        <v>0</v>
      </c>
      <c r="E25" s="126">
        <f t="shared" si="3"/>
        <v>0</v>
      </c>
      <c r="F25" s="126">
        <f t="shared" si="3"/>
        <v>0</v>
      </c>
      <c r="G25" s="126">
        <f t="shared" si="3"/>
        <v>0</v>
      </c>
      <c r="H25" s="126">
        <f t="shared" si="3"/>
        <v>0</v>
      </c>
      <c r="I25" s="107"/>
      <c r="Q25" s="129"/>
    </row>
    <row r="26" spans="1:17" ht="20.100000000000001" customHeight="1">
      <c r="A26" s="468" t="s">
        <v>23</v>
      </c>
      <c r="B26" s="122" t="s">
        <v>282</v>
      </c>
      <c r="C26" s="210"/>
      <c r="D26" s="210"/>
      <c r="E26" s="210"/>
      <c r="F26" s="210"/>
      <c r="G26" s="210"/>
      <c r="H26" s="210"/>
      <c r="I26" s="107"/>
      <c r="Q26" s="124"/>
    </row>
    <row r="27" spans="1:17" ht="20.100000000000001" customHeight="1">
      <c r="A27" s="405"/>
      <c r="B27" s="128" t="s">
        <v>239</v>
      </c>
      <c r="C27" s="127"/>
      <c r="D27" s="127" t="e">
        <f t="shared" ref="D27:H27" si="4">D26/D12/D16</f>
        <v>#DIV/0!</v>
      </c>
      <c r="E27" s="127" t="e">
        <f t="shared" si="4"/>
        <v>#DIV/0!</v>
      </c>
      <c r="F27" s="127" t="e">
        <f t="shared" si="4"/>
        <v>#DIV/0!</v>
      </c>
      <c r="G27" s="127" t="e">
        <f t="shared" si="4"/>
        <v>#DIV/0!</v>
      </c>
      <c r="H27" s="127" t="e">
        <f t="shared" si="4"/>
        <v>#DIV/0!</v>
      </c>
      <c r="I27" s="107"/>
      <c r="Q27" s="124"/>
    </row>
    <row r="28" spans="1:17" ht="35.1" customHeight="1">
      <c r="A28" s="405"/>
      <c r="B28" s="125" t="s">
        <v>31</v>
      </c>
      <c r="C28" s="126">
        <f t="shared" ref="C28:H28" si="5">MIN(C25,C26)</f>
        <v>0</v>
      </c>
      <c r="D28" s="126">
        <f t="shared" si="5"/>
        <v>0</v>
      </c>
      <c r="E28" s="126">
        <f t="shared" si="5"/>
        <v>0</v>
      </c>
      <c r="F28" s="126">
        <f t="shared" si="5"/>
        <v>0</v>
      </c>
      <c r="G28" s="126">
        <f t="shared" si="5"/>
        <v>0</v>
      </c>
      <c r="H28" s="126">
        <f t="shared" si="5"/>
        <v>0</v>
      </c>
      <c r="I28" s="107"/>
      <c r="Q28" s="124"/>
    </row>
    <row r="29" spans="1:17" ht="20.100000000000001" customHeight="1">
      <c r="A29" s="468" t="s">
        <v>23</v>
      </c>
      <c r="B29" s="125" t="s">
        <v>289</v>
      </c>
      <c r="C29" s="211"/>
      <c r="D29" s="211"/>
      <c r="E29" s="211"/>
      <c r="F29" s="211"/>
      <c r="G29" s="211"/>
      <c r="H29" s="211"/>
      <c r="I29" s="107"/>
      <c r="Q29" s="124"/>
    </row>
    <row r="30" spans="1:17" ht="20.100000000000001" customHeight="1">
      <c r="A30" s="405"/>
      <c r="B30" s="122" t="s">
        <v>283</v>
      </c>
      <c r="C30" s="4">
        <f t="shared" ref="C30:H30" si="6">IF(ISERROR(C26/C25),0,C26/C25)</f>
        <v>0</v>
      </c>
      <c r="D30" s="4">
        <f t="shared" si="6"/>
        <v>0</v>
      </c>
      <c r="E30" s="4">
        <f t="shared" si="6"/>
        <v>0</v>
      </c>
      <c r="F30" s="4">
        <f t="shared" si="6"/>
        <v>0</v>
      </c>
      <c r="G30" s="4">
        <f t="shared" si="6"/>
        <v>0</v>
      </c>
      <c r="H30" s="4">
        <f t="shared" si="6"/>
        <v>0</v>
      </c>
      <c r="I30" s="107"/>
      <c r="Q30" s="124"/>
    </row>
    <row r="31" spans="1:17" ht="20.100000000000001" customHeight="1">
      <c r="A31" s="468" t="s">
        <v>23</v>
      </c>
      <c r="B31" s="122" t="s">
        <v>284</v>
      </c>
      <c r="C31" s="210"/>
      <c r="D31" s="210"/>
      <c r="E31" s="210"/>
      <c r="F31" s="210"/>
      <c r="G31" s="210"/>
      <c r="H31" s="210"/>
      <c r="I31" s="107"/>
      <c r="Q31" s="53"/>
    </row>
    <row r="32" spans="1:17" ht="20.100000000000001" customHeight="1">
      <c r="A32" s="405"/>
      <c r="B32" s="6" t="s">
        <v>285</v>
      </c>
      <c r="C32" s="4">
        <f t="shared" ref="C32:H32" si="7">IF(ISERROR(C26/C31),0,C26/C31)</f>
        <v>0</v>
      </c>
      <c r="D32" s="4">
        <f t="shared" si="7"/>
        <v>0</v>
      </c>
      <c r="E32" s="4">
        <f t="shared" si="7"/>
        <v>0</v>
      </c>
      <c r="F32" s="4">
        <f t="shared" si="7"/>
        <v>0</v>
      </c>
      <c r="G32" s="4">
        <f t="shared" si="7"/>
        <v>0</v>
      </c>
      <c r="H32" s="4">
        <f t="shared" si="7"/>
        <v>0</v>
      </c>
      <c r="I32" s="107"/>
      <c r="Q32" s="119"/>
    </row>
    <row r="33" spans="1:17" ht="20.100000000000001" customHeight="1">
      <c r="A33" s="405"/>
      <c r="B33" s="122" t="s">
        <v>287</v>
      </c>
      <c r="C33" s="123">
        <f t="shared" ref="C33:H33" si="8">IF(ISERROR(C31/C25),0,C31/C25)</f>
        <v>0</v>
      </c>
      <c r="D33" s="123">
        <f t="shared" si="8"/>
        <v>0</v>
      </c>
      <c r="E33" s="123">
        <f t="shared" si="8"/>
        <v>0</v>
      </c>
      <c r="F33" s="123">
        <f t="shared" si="8"/>
        <v>0</v>
      </c>
      <c r="G33" s="123">
        <f t="shared" si="8"/>
        <v>0</v>
      </c>
      <c r="H33" s="123">
        <f t="shared" si="8"/>
        <v>0</v>
      </c>
      <c r="I33" s="107"/>
      <c r="Q33" s="119"/>
    </row>
    <row r="34" spans="1:17" ht="20.100000000000001" customHeight="1">
      <c r="A34" s="405"/>
      <c r="B34" s="5" t="s">
        <v>290</v>
      </c>
      <c r="C34" s="126"/>
      <c r="D34" s="126">
        <f t="shared" ref="D34:H34" si="9">D12*6</f>
        <v>0</v>
      </c>
      <c r="E34" s="126">
        <f t="shared" si="9"/>
        <v>0</v>
      </c>
      <c r="F34" s="126">
        <f t="shared" si="9"/>
        <v>0</v>
      </c>
      <c r="G34" s="126">
        <f t="shared" si="9"/>
        <v>0</v>
      </c>
      <c r="H34" s="126">
        <f t="shared" si="9"/>
        <v>0</v>
      </c>
      <c r="I34" s="107"/>
      <c r="Q34" s="119"/>
    </row>
    <row r="35" spans="1:17" ht="20.100000000000001" customHeight="1">
      <c r="A35" s="405"/>
      <c r="B35" s="122" t="s">
        <v>286</v>
      </c>
      <c r="C35" s="121">
        <f t="shared" ref="C35:H35" si="10">IF(ISERROR(C193/C31),0,C193/C31)</f>
        <v>0</v>
      </c>
      <c r="D35" s="121">
        <f t="shared" si="10"/>
        <v>0</v>
      </c>
      <c r="E35" s="121">
        <f t="shared" si="10"/>
        <v>0</v>
      </c>
      <c r="F35" s="121">
        <f t="shared" si="10"/>
        <v>0</v>
      </c>
      <c r="G35" s="121">
        <f t="shared" si="10"/>
        <v>0</v>
      </c>
      <c r="H35" s="121">
        <f t="shared" si="10"/>
        <v>0</v>
      </c>
      <c r="I35" s="107"/>
      <c r="Q35" s="53"/>
    </row>
    <row r="36" spans="1:17" ht="31.5" thickBot="1">
      <c r="A36" s="405"/>
      <c r="B36" s="120" t="s">
        <v>280</v>
      </c>
      <c r="C36" s="7" t="e">
        <f>IF(C6="OUI",VLOOKUP(MATCH(C32,'0-ACCUEIL &amp; PARAMETRES'!$D18:$D20),'0-ACCUEIL &amp; PARAMETRES'!$E$19:$N$21,C8,0),VLOOKUP(MATCH(C32,'0-ACCUEIL &amp; PARAMETRES'!$D18:$D20),'0-ACCUEIL &amp; PARAMETRES'!$E$22:$N$24,C8,0))</f>
        <v>#N/A</v>
      </c>
      <c r="D36" s="7" t="e">
        <f>IF(D6="OUI",VLOOKUP(MATCH(D32,'0-ACCUEIL &amp; PARAMETRES'!$D18:$D20),'0-ACCUEIL &amp; PARAMETRES'!$E$19:$N$21,D8,0),VLOOKUP(MATCH(D32,'0-ACCUEIL &amp; PARAMETRES'!$D18:$D20),'0-ACCUEIL &amp; PARAMETRES'!$E$22:$N$24,D8,0))</f>
        <v>#N/A</v>
      </c>
      <c r="E36" s="7" t="e">
        <f>IF(E6="OUI",VLOOKUP(MATCH(E32,'0-ACCUEIL &amp; PARAMETRES'!$D18:$D20),'0-ACCUEIL &amp; PARAMETRES'!$E$19:$N$21,E8,0),VLOOKUP(MATCH(E32,'0-ACCUEIL &amp; PARAMETRES'!$D18:$D20),'0-ACCUEIL &amp; PARAMETRES'!$E$22:$N$24,E8,0))</f>
        <v>#N/A</v>
      </c>
      <c r="F36" s="7" t="e">
        <f>IF(F6="OUI",VLOOKUP(MATCH(F32,'0-ACCUEIL &amp; PARAMETRES'!$D18:$D20),'0-ACCUEIL &amp; PARAMETRES'!$E$19:$N$21,F8,0),VLOOKUP(MATCH(F32,'0-ACCUEIL &amp; PARAMETRES'!$D18:$D20),'0-ACCUEIL &amp; PARAMETRES'!$E$22:$N$24,F8,0))</f>
        <v>#N/A</v>
      </c>
      <c r="G36" s="7" t="e">
        <f>IF(G6="OUI",VLOOKUP(MATCH(G32,'0-ACCUEIL &amp; PARAMETRES'!$D18:$D20),'0-ACCUEIL &amp; PARAMETRES'!$E$19:$N$21,G8,0),VLOOKUP(MATCH(G32,'0-ACCUEIL &amp; PARAMETRES'!$D18:$D20),'0-ACCUEIL &amp; PARAMETRES'!$E$22:$N$24,G8,0))</f>
        <v>#N/A</v>
      </c>
      <c r="H36" s="7" t="e">
        <f>IF(H6="OUI",VLOOKUP(MATCH(H32,'0-ACCUEIL &amp; PARAMETRES'!$D18:$D20),'0-ACCUEIL &amp; PARAMETRES'!$E$19:$N$21,H8,0),VLOOKUP(MATCH(H32,'0-ACCUEIL &amp; PARAMETRES'!$D18:$D20),'0-ACCUEIL &amp; PARAMETRES'!$E$22:$N$24,H8,0))</f>
        <v>#N/A</v>
      </c>
      <c r="I36" s="107"/>
      <c r="Q36" s="119"/>
    </row>
    <row r="37" spans="1:17">
      <c r="B37" s="118" t="s">
        <v>29</v>
      </c>
      <c r="C37" s="117" t="e">
        <f t="shared" ref="C37:H37" si="11">ROUND(C36*0.66,2)</f>
        <v>#N/A</v>
      </c>
      <c r="D37" s="117" t="e">
        <f t="shared" si="11"/>
        <v>#N/A</v>
      </c>
      <c r="E37" s="117" t="e">
        <f t="shared" si="11"/>
        <v>#N/A</v>
      </c>
      <c r="F37" s="117" t="e">
        <f t="shared" si="11"/>
        <v>#N/A</v>
      </c>
      <c r="G37" s="117" t="e">
        <f t="shared" si="11"/>
        <v>#N/A</v>
      </c>
      <c r="H37" s="117" t="e">
        <f t="shared" si="11"/>
        <v>#N/A</v>
      </c>
      <c r="Q37" s="68"/>
    </row>
    <row r="38" spans="1:17">
      <c r="I38" s="51"/>
    </row>
    <row r="39" spans="1:17" ht="13.5" thickBot="1">
      <c r="I39" s="51"/>
    </row>
    <row r="40" spans="1:17" ht="20.100000000000001" customHeight="1" thickBot="1">
      <c r="A40" s="404"/>
      <c r="B40" s="410" t="s">
        <v>234</v>
      </c>
      <c r="C40" s="201"/>
      <c r="D40" s="201"/>
      <c r="E40" s="201"/>
      <c r="F40" s="201"/>
      <c r="G40" s="201"/>
      <c r="H40" s="201"/>
      <c r="I40" s="51"/>
    </row>
    <row r="41" spans="1:17" ht="20.100000000000001" customHeight="1">
      <c r="A41" s="404"/>
      <c r="B41" s="217" t="s">
        <v>108</v>
      </c>
      <c r="C41" s="259"/>
      <c r="D41" s="259"/>
      <c r="E41" s="259"/>
      <c r="F41" s="259"/>
      <c r="G41" s="259"/>
      <c r="H41" s="259"/>
      <c r="I41" s="107"/>
    </row>
    <row r="42" spans="1:17" ht="20.100000000000001" customHeight="1">
      <c r="A42" s="404"/>
      <c r="B42" s="218" t="s">
        <v>109</v>
      </c>
      <c r="C42" s="206">
        <f t="shared" ref="C42:H42" si="12">IF(ISERROR(C41/C26),0,C41/C26)</f>
        <v>0</v>
      </c>
      <c r="D42" s="206">
        <f t="shared" si="12"/>
        <v>0</v>
      </c>
      <c r="E42" s="206">
        <f t="shared" si="12"/>
        <v>0</v>
      </c>
      <c r="F42" s="206">
        <f t="shared" si="12"/>
        <v>0</v>
      </c>
      <c r="G42" s="206">
        <f t="shared" si="12"/>
        <v>0</v>
      </c>
      <c r="H42" s="206">
        <f t="shared" si="12"/>
        <v>0</v>
      </c>
      <c r="I42" s="107"/>
    </row>
    <row r="43" spans="1:17" ht="20.100000000000001" customHeight="1" thickBot="1">
      <c r="A43" s="404"/>
      <c r="B43" s="414" t="s">
        <v>128</v>
      </c>
      <c r="C43" s="415">
        <f>IF(C42=0,0,IF(C42&lt;=HLOOKUP(C4,'0-ACCUEIL &amp; PARAMETRES'!$F$28:$N$35,2,0),HLOOKUP(C4,'0-ACCUEIL &amp; PARAMETRES'!$F$28:$N$35,3,0),IF(C42&lt;=HLOOKUP(C4,'0-ACCUEIL &amp; PARAMETRES'!$F$28:$N$35,4,0),HLOOKUP(C4,'0-ACCUEIL &amp; PARAMETRES'!$F$28:$N$35,5,0),IF(C42&lt;=HLOOKUP(C4,'0-ACCUEIL &amp; PARAMETRES'!$F$28:$N$35,6,0),HLOOKUP(C4,'0-ACCUEIL &amp; PARAMETRES'!$F$28:$N$35,7,0),0))))</f>
        <v>0</v>
      </c>
      <c r="D43" s="415">
        <f>IF(D42=0,0,IF(D42&lt;=HLOOKUP(D4,'0-ACCUEIL &amp; PARAMETRES'!$F$28:$N$35,2,0),HLOOKUP(D4,'0-ACCUEIL &amp; PARAMETRES'!$F$28:$N$35,3,0),IF(D42&lt;=HLOOKUP(D4,'0-ACCUEIL &amp; PARAMETRES'!$F$28:$N$35,4,0),HLOOKUP(D4,'0-ACCUEIL &amp; PARAMETRES'!$F$28:$N$35,5,0),IF(D42&lt;=HLOOKUP(D4,'0-ACCUEIL &amp; PARAMETRES'!$F$28:$N$35,6,0),HLOOKUP(D4,'0-ACCUEIL &amp; PARAMETRES'!$F$28:$N$35,7,0),0))))</f>
        <v>0</v>
      </c>
      <c r="E43" s="415">
        <f>IF(E42=0,0,IF(E42&lt;=HLOOKUP(E4,'0-ACCUEIL &amp; PARAMETRES'!$F$28:$N$35,2,0),HLOOKUP(E4,'0-ACCUEIL &amp; PARAMETRES'!$F$28:$N$35,3,0),IF(E42&lt;=HLOOKUP(E4,'0-ACCUEIL &amp; PARAMETRES'!$F$28:$N$35,4,0),HLOOKUP(E4,'0-ACCUEIL &amp; PARAMETRES'!$F$28:$N$35,5,0),IF(E42&lt;=HLOOKUP(E4,'0-ACCUEIL &amp; PARAMETRES'!$F$28:$N$35,6,0),HLOOKUP(E4,'0-ACCUEIL &amp; PARAMETRES'!$F$28:$N$35,7,0),0))))</f>
        <v>0</v>
      </c>
      <c r="F43" s="415">
        <f>IF(F42=0,0,IF(F42&lt;=HLOOKUP(F4,'0-ACCUEIL &amp; PARAMETRES'!$F$28:$N$35,2,0),HLOOKUP(F4,'0-ACCUEIL &amp; PARAMETRES'!$F$28:$N$35,3,0),IF(F42&lt;=HLOOKUP(F4,'0-ACCUEIL &amp; PARAMETRES'!$F$28:$N$35,4,0),HLOOKUP(F4,'0-ACCUEIL &amp; PARAMETRES'!$F$28:$N$35,5,0),IF(F42&lt;=HLOOKUP(F4,'0-ACCUEIL &amp; PARAMETRES'!$F$28:$N$35,6,0),HLOOKUP(F4,'0-ACCUEIL &amp; PARAMETRES'!$F$28:$N$35,7,0),0))))</f>
        <v>0</v>
      </c>
      <c r="G43" s="415">
        <f>IF(G42=0,0,IF(G42&lt;=HLOOKUP(G4,'0-ACCUEIL &amp; PARAMETRES'!$F$28:$N$35,2,0),HLOOKUP(G4,'0-ACCUEIL &amp; PARAMETRES'!$F$28:$N$35,3,0),IF(G42&lt;=HLOOKUP(G4,'0-ACCUEIL &amp; PARAMETRES'!$F$28:$N$35,4,0),HLOOKUP(G4,'0-ACCUEIL &amp; PARAMETRES'!$F$28:$N$35,5,0),IF(G42&lt;=HLOOKUP(G4,'0-ACCUEIL &amp; PARAMETRES'!$F$28:$N$35,6,0),HLOOKUP(G4,'0-ACCUEIL &amp; PARAMETRES'!$F$28:$N$35,7,0),0))))</f>
        <v>0</v>
      </c>
      <c r="H43" s="415">
        <f>IF(H42=0,0,IF(H42&lt;=HLOOKUP(H4,'0-ACCUEIL &amp; PARAMETRES'!$F$28:$N$35,2,0),HLOOKUP(H4,'0-ACCUEIL &amp; PARAMETRES'!$F$28:$N$35,3,0),IF(H42&lt;=HLOOKUP(H4,'0-ACCUEIL &amp; PARAMETRES'!$F$28:$N$35,4,0),HLOOKUP(H4,'0-ACCUEIL &amp; PARAMETRES'!$F$28:$N$35,5,0),IF(H42&lt;=HLOOKUP(H4,'0-ACCUEIL &amp; PARAMETRES'!$F$28:$N$35,6,0),HLOOKUP(H4,'0-ACCUEIL &amp; PARAMETRES'!$F$28:$N$35,7,0),0))))</f>
        <v>0</v>
      </c>
      <c r="I43" s="107"/>
    </row>
    <row r="44" spans="1:17" ht="20.100000000000001" customHeight="1" thickBot="1">
      <c r="A44" s="404"/>
      <c r="B44" s="412" t="s">
        <v>264</v>
      </c>
      <c r="C44" s="416">
        <f t="shared" ref="C44:H44" si="13">C12*C43</f>
        <v>0</v>
      </c>
      <c r="D44" s="416">
        <f t="shared" si="13"/>
        <v>0</v>
      </c>
      <c r="E44" s="416">
        <f t="shared" si="13"/>
        <v>0</v>
      </c>
      <c r="F44" s="416">
        <f t="shared" si="13"/>
        <v>0</v>
      </c>
      <c r="G44" s="416">
        <f t="shared" si="13"/>
        <v>0</v>
      </c>
      <c r="H44" s="417">
        <f t="shared" si="13"/>
        <v>0</v>
      </c>
      <c r="I44" s="277"/>
    </row>
    <row r="45" spans="1:17" ht="15.95" customHeight="1">
      <c r="A45" s="404"/>
      <c r="B45" s="203"/>
      <c r="C45" s="202"/>
      <c r="D45" s="202"/>
      <c r="E45" s="202"/>
      <c r="F45" s="202"/>
      <c r="G45" s="202"/>
      <c r="H45" s="202"/>
      <c r="I45" s="51"/>
    </row>
    <row r="46" spans="1:17" ht="15.95" customHeight="1" thickBot="1">
      <c r="A46" s="404"/>
      <c r="B46" s="201"/>
      <c r="C46" s="201"/>
      <c r="D46" s="201"/>
      <c r="E46" s="201"/>
      <c r="F46" s="201"/>
      <c r="G46" s="201"/>
      <c r="H46" s="201"/>
      <c r="I46" s="51"/>
    </row>
    <row r="47" spans="1:17" ht="20.100000000000001" customHeight="1" thickBot="1">
      <c r="A47" s="404"/>
      <c r="B47" s="410" t="s">
        <v>233</v>
      </c>
      <c r="C47" s="204"/>
      <c r="D47" s="204"/>
      <c r="E47" s="204"/>
      <c r="F47" s="204"/>
      <c r="G47" s="204"/>
      <c r="H47" s="204"/>
      <c r="I47" s="51"/>
    </row>
    <row r="48" spans="1:17" ht="20.100000000000001" customHeight="1">
      <c r="A48" s="469" t="s">
        <v>23</v>
      </c>
      <c r="B48" s="215" t="s">
        <v>236</v>
      </c>
      <c r="C48" s="259"/>
      <c r="D48" s="259"/>
      <c r="E48" s="259"/>
      <c r="F48" s="259"/>
      <c r="G48" s="259"/>
      <c r="H48" s="259"/>
      <c r="I48" s="107"/>
    </row>
    <row r="49" spans="1:9" ht="20.100000000000001" customHeight="1">
      <c r="A49" s="469" t="s">
        <v>23</v>
      </c>
      <c r="B49" s="216" t="s">
        <v>237</v>
      </c>
      <c r="C49" s="260"/>
      <c r="D49" s="260"/>
      <c r="E49" s="260"/>
      <c r="F49" s="260"/>
      <c r="G49" s="260"/>
      <c r="H49" s="260"/>
      <c r="I49" s="107"/>
    </row>
    <row r="50" spans="1:9" ht="20.100000000000001" customHeight="1">
      <c r="A50" s="404"/>
      <c r="B50" s="213" t="s">
        <v>238</v>
      </c>
      <c r="C50" s="219">
        <f>IF(ISBLANK(C49),0,C49/C48)</f>
        <v>0</v>
      </c>
      <c r="D50" s="219">
        <f t="shared" ref="D50:H50" si="14">IF(ISBLANK(D49),0,D49/D48)</f>
        <v>0</v>
      </c>
      <c r="E50" s="219">
        <f t="shared" si="14"/>
        <v>0</v>
      </c>
      <c r="F50" s="219">
        <f t="shared" si="14"/>
        <v>0</v>
      </c>
      <c r="G50" s="219">
        <f t="shared" si="14"/>
        <v>0</v>
      </c>
      <c r="H50" s="219">
        <f t="shared" si="14"/>
        <v>0</v>
      </c>
      <c r="I50" s="107"/>
    </row>
    <row r="51" spans="1:9" ht="20.100000000000001" customHeight="1">
      <c r="A51" s="404"/>
      <c r="B51" s="214" t="s">
        <v>114</v>
      </c>
      <c r="C51" s="220">
        <f>IF(ISBLANK(C49),0,VLOOKUP(MATCH(C50,'0-ACCUEIL &amp; PARAMETRES'!$D41:$D43),'0-ACCUEIL &amp; PARAMETRES'!$E41:$N43,C8,0))</f>
        <v>0</v>
      </c>
      <c r="D51" s="220">
        <f>IF(ISBLANK(D49),0,VLOOKUP(MATCH(D50,'0-ACCUEIL &amp; PARAMETRES'!$D41:$D43),'0-ACCUEIL &amp; PARAMETRES'!$E41:$N43,D8,0))</f>
        <v>0</v>
      </c>
      <c r="E51" s="220">
        <f>IF(ISBLANK(E49),0,VLOOKUP(MATCH(E50,'0-ACCUEIL &amp; PARAMETRES'!$D41:$D43),'0-ACCUEIL &amp; PARAMETRES'!$E41:$N43,E8,0))</f>
        <v>0</v>
      </c>
      <c r="F51" s="220">
        <f>IF(ISBLANK(F49),0,VLOOKUP(MATCH(F50,'0-ACCUEIL &amp; PARAMETRES'!$D41:$D43),'0-ACCUEIL &amp; PARAMETRES'!$E41:$N43,F8,0))</f>
        <v>0</v>
      </c>
      <c r="G51" s="220">
        <f>IF(ISBLANK(G49),0,VLOOKUP(MATCH(G50,'0-ACCUEIL &amp; PARAMETRES'!$D41:$D43),'0-ACCUEIL &amp; PARAMETRES'!$E41:$N43,G8,0))</f>
        <v>0</v>
      </c>
      <c r="H51" s="220">
        <f>IF(ISBLANK(H49),0,VLOOKUP(MATCH(H50,'0-ACCUEIL &amp; PARAMETRES'!$D41:$D43),'0-ACCUEIL &amp; PARAMETRES'!$E41:$N43,H8,0))</f>
        <v>0</v>
      </c>
      <c r="I51" s="107"/>
    </row>
    <row r="52" spans="1:9" ht="20.100000000000001" hidden="1" customHeight="1">
      <c r="A52" s="404"/>
      <c r="B52" s="214" t="s">
        <v>134</v>
      </c>
      <c r="C52" s="221" t="e">
        <f>VLOOKUP(MATCH(C50,'0-ACCUEIL &amp; PARAMETRES'!$D47:$D52),'0-ACCUEIL &amp; PARAMETRES'!$E47:$N52,C8,0)</f>
        <v>#N/A</v>
      </c>
      <c r="D52" s="221" t="e">
        <f>VLOOKUP(MATCH(D50,'0-ACCUEIL &amp; PARAMETRES'!$D47:$D52),'0-ACCUEIL &amp; PARAMETRES'!$E47:$N52,D8,0)</f>
        <v>#N/A</v>
      </c>
      <c r="E52" s="221" t="e">
        <f>VLOOKUP(MATCH(E50,'0-ACCUEIL &amp; PARAMETRES'!$D47:$D52),'0-ACCUEIL &amp; PARAMETRES'!$E47:$N52,E8,0)</f>
        <v>#N/A</v>
      </c>
      <c r="F52" s="221" t="e">
        <f>VLOOKUP(MATCH(F50,'0-ACCUEIL &amp; PARAMETRES'!$D47:$D52),'0-ACCUEIL &amp; PARAMETRES'!$E47:$N52,F8,0)</f>
        <v>#N/A</v>
      </c>
      <c r="G52" s="221" t="e">
        <f>VLOOKUP(MATCH(G50,'0-ACCUEIL &amp; PARAMETRES'!$D47:$D52),'0-ACCUEIL &amp; PARAMETRES'!$E47:$N52,G8,0)</f>
        <v>#N/A</v>
      </c>
      <c r="H52" s="221" t="e">
        <f>VLOOKUP(MATCH(H50,'0-ACCUEIL &amp; PARAMETRES'!$D47:$D52),'0-ACCUEIL &amp; PARAMETRES'!$E47:$N52,H8,0)</f>
        <v>#N/A</v>
      </c>
      <c r="I52" s="107"/>
    </row>
    <row r="53" spans="1:9" ht="20.100000000000001" hidden="1" customHeight="1">
      <c r="A53" s="404"/>
      <c r="B53" s="214" t="s">
        <v>135</v>
      </c>
      <c r="C53" s="221" t="e">
        <f>VLOOKUP(MATCH(C50,'0-ACCUEIL &amp; PARAMETRES'!$D47:$D52)+1,'0-ACCUEIL &amp; PARAMETRES'!$E47:$N52,C8,0)</f>
        <v>#N/A</v>
      </c>
      <c r="D53" s="221" t="e">
        <f>VLOOKUP(MATCH(D50,'0-ACCUEIL &amp; PARAMETRES'!$D47:$D52)+1,'0-ACCUEIL &amp; PARAMETRES'!$E47:$N52,D8,0)</f>
        <v>#N/A</v>
      </c>
      <c r="E53" s="221" t="e">
        <f>VLOOKUP(MATCH(E50,'0-ACCUEIL &amp; PARAMETRES'!$D47:$D52)+1,'0-ACCUEIL &amp; PARAMETRES'!$E47:$N52,E8,0)</f>
        <v>#N/A</v>
      </c>
      <c r="F53" s="221" t="e">
        <f>VLOOKUP(MATCH(F50,'0-ACCUEIL &amp; PARAMETRES'!$D47:$D52)+1,'0-ACCUEIL &amp; PARAMETRES'!$E47:$N52,F8,0)</f>
        <v>#N/A</v>
      </c>
      <c r="G53" s="221" t="e">
        <f>VLOOKUP(MATCH(G50,'0-ACCUEIL &amp; PARAMETRES'!$D47:$D52)+1,'0-ACCUEIL &amp; PARAMETRES'!$E47:$N52,G8,0)</f>
        <v>#N/A</v>
      </c>
      <c r="H53" s="221" t="e">
        <f>VLOOKUP(MATCH(H50,'0-ACCUEIL &amp; PARAMETRES'!$D47:$D52)+1,'0-ACCUEIL &amp; PARAMETRES'!$E47:$N52,H8,0)</f>
        <v>#N/A</v>
      </c>
      <c r="I53" s="107"/>
    </row>
    <row r="54" spans="1:9" ht="20.100000000000001" customHeight="1">
      <c r="A54" s="404"/>
      <c r="B54" s="214" t="s">
        <v>231</v>
      </c>
      <c r="C54" s="221">
        <f>IF(ISBLANK(C49),0,C52+(C50*C53))</f>
        <v>0</v>
      </c>
      <c r="D54" s="221">
        <f t="shared" ref="D54:H54" si="15">IF(ISBLANK(D49),0,D52+(D50*D53))</f>
        <v>0</v>
      </c>
      <c r="E54" s="221">
        <f t="shared" si="15"/>
        <v>0</v>
      </c>
      <c r="F54" s="221">
        <f t="shared" si="15"/>
        <v>0</v>
      </c>
      <c r="G54" s="221">
        <f t="shared" si="15"/>
        <v>0</v>
      </c>
      <c r="H54" s="221">
        <f t="shared" si="15"/>
        <v>0</v>
      </c>
      <c r="I54" s="107"/>
    </row>
    <row r="55" spans="1:9" ht="20.100000000000001" customHeight="1">
      <c r="A55" s="404"/>
      <c r="B55" s="213" t="s">
        <v>232</v>
      </c>
      <c r="C55" s="221">
        <f t="shared" ref="C55:H55" si="16">IF(ISBLANK(C49),0,C193/C12)</f>
        <v>0</v>
      </c>
      <c r="D55" s="221">
        <f t="shared" si="16"/>
        <v>0</v>
      </c>
      <c r="E55" s="221">
        <f t="shared" si="16"/>
        <v>0</v>
      </c>
      <c r="F55" s="221">
        <f t="shared" si="16"/>
        <v>0</v>
      </c>
      <c r="G55" s="221">
        <f t="shared" si="16"/>
        <v>0</v>
      </c>
      <c r="H55" s="221">
        <f t="shared" si="16"/>
        <v>0</v>
      </c>
      <c r="I55" s="107"/>
    </row>
    <row r="56" spans="1:9" ht="20.100000000000001" customHeight="1">
      <c r="A56" s="404"/>
      <c r="B56" s="213" t="s">
        <v>136</v>
      </c>
      <c r="C56" s="221" t="e">
        <f>+INDEX('0-ACCUEIL &amp; PARAMETRES'!$F44:$N44,C8-1)</f>
        <v>#N/A</v>
      </c>
      <c r="D56" s="221" t="e">
        <f>+INDEX('0-ACCUEIL &amp; PARAMETRES'!$F44:$N44,D8-1)</f>
        <v>#N/A</v>
      </c>
      <c r="E56" s="221" t="e">
        <f>+INDEX('0-ACCUEIL &amp; PARAMETRES'!$F44:$N44,E8-1)</f>
        <v>#N/A</v>
      </c>
      <c r="F56" s="221" t="e">
        <f>+INDEX('0-ACCUEIL &amp; PARAMETRES'!$F44:$N44,F8-1)</f>
        <v>#N/A</v>
      </c>
      <c r="G56" s="221" t="e">
        <f>+INDEX('0-ACCUEIL &amp; PARAMETRES'!$F44:$N44,G8-1)</f>
        <v>#N/A</v>
      </c>
      <c r="H56" s="221" t="e">
        <f>+INDEX('0-ACCUEIL &amp; PARAMETRES'!$F44:$N44,H8-1)</f>
        <v>#N/A</v>
      </c>
      <c r="I56" s="107"/>
    </row>
    <row r="57" spans="1:9" ht="20.100000000000001" customHeight="1" thickBot="1">
      <c r="A57" s="404"/>
      <c r="B57" s="414" t="s">
        <v>128</v>
      </c>
      <c r="C57" s="415" t="e">
        <f>MIN(C50*C51*MIN(C55,C54),INDEX('0-ACCUEIL &amp; PARAMETRES'!$F44:$N44,C8-1))</f>
        <v>#N/A</v>
      </c>
      <c r="D57" s="415" t="e">
        <f>MIN(D50*D51*MIN(D55,D54),INDEX('0-ACCUEIL &amp; PARAMETRES'!$F44:$N44,D8-1))</f>
        <v>#N/A</v>
      </c>
      <c r="E57" s="415" t="e">
        <f>MIN(E50*E51*MIN(E55,E54),INDEX('0-ACCUEIL &amp; PARAMETRES'!$F44:$N44,E8-1))</f>
        <v>#N/A</v>
      </c>
      <c r="F57" s="415" t="e">
        <f>MIN(F50*F51*MIN(F55,F54),INDEX('0-ACCUEIL &amp; PARAMETRES'!$F44:$N44,F8-1))</f>
        <v>#N/A</v>
      </c>
      <c r="G57" s="415" t="e">
        <f>MIN(G50*G51*MIN(G55,G54),INDEX('0-ACCUEIL &amp; PARAMETRES'!$F44:$N44,G8-1))</f>
        <v>#N/A</v>
      </c>
      <c r="H57" s="415" t="e">
        <f>MIN(H50*H51*MIN(H55,H54),INDEX('0-ACCUEIL &amp; PARAMETRES'!$F44:$N44,H8-1))</f>
        <v>#N/A</v>
      </c>
      <c r="I57" s="107"/>
    </row>
    <row r="58" spans="1:9" ht="20.100000000000001" customHeight="1" thickBot="1">
      <c r="A58" s="404"/>
      <c r="B58" s="412" t="s">
        <v>262</v>
      </c>
      <c r="C58" s="416" t="e">
        <f>MIN(C12*C50*C51*MIN(C55,C54),INDEX('0-ACCUEIL &amp; PARAMETRES'!$F44:$N44,C8-1)*C12)</f>
        <v>#N/A</v>
      </c>
      <c r="D58" s="416" t="e">
        <f>MIN(D12*D50*D51*MIN(D55,D54),INDEX('0-ACCUEIL &amp; PARAMETRES'!$F44:$N44,D8-1)*D12)</f>
        <v>#N/A</v>
      </c>
      <c r="E58" s="416" t="e">
        <f>MIN(E12*E50*E51*MIN(E55,E54),INDEX('0-ACCUEIL &amp; PARAMETRES'!$F44:$N44,E8-1)*E12)</f>
        <v>#N/A</v>
      </c>
      <c r="F58" s="416" t="e">
        <f>MIN(F12*F50*F51*MIN(F55,F54),INDEX('0-ACCUEIL &amp; PARAMETRES'!$F44:$N44,F8-1)*F12)</f>
        <v>#N/A</v>
      </c>
      <c r="G58" s="416" t="e">
        <f>MIN(G12*G50*G51*MIN(G55,G54),INDEX('0-ACCUEIL &amp; PARAMETRES'!$F44:$N44,G8-1)*G12)</f>
        <v>#N/A</v>
      </c>
      <c r="H58" s="417" t="e">
        <f>MIN(H12*H50*H51*MIN(H55,H54),INDEX('0-ACCUEIL &amp; PARAMETRES'!$F44:$N44,H8-1)*H12)</f>
        <v>#N/A</v>
      </c>
      <c r="I58" s="277"/>
    </row>
    <row r="59" spans="1:9" ht="15.95" customHeight="1">
      <c r="A59" s="404"/>
      <c r="B59" s="201"/>
      <c r="C59" s="201"/>
      <c r="D59" s="201"/>
      <c r="E59" s="201"/>
      <c r="F59" s="201"/>
      <c r="G59" s="201"/>
      <c r="H59" s="201"/>
      <c r="I59" s="51"/>
    </row>
    <row r="60" spans="1:9" ht="15.95" customHeight="1" thickBot="1">
      <c r="A60" s="404"/>
      <c r="B60" s="205"/>
      <c r="C60" s="201"/>
      <c r="D60" s="201"/>
      <c r="E60" s="201"/>
      <c r="F60" s="201"/>
      <c r="G60" s="201"/>
      <c r="H60" s="201"/>
      <c r="I60" s="51"/>
    </row>
    <row r="61" spans="1:9" ht="20.100000000000001" customHeight="1" thickBot="1">
      <c r="A61" s="404"/>
      <c r="B61" s="410" t="s">
        <v>235</v>
      </c>
      <c r="C61" s="201"/>
      <c r="D61" s="201"/>
      <c r="E61" s="201"/>
      <c r="F61" s="201"/>
      <c r="G61" s="201"/>
      <c r="H61" s="201"/>
      <c r="I61" s="51"/>
    </row>
    <row r="62" spans="1:9" ht="30" customHeight="1">
      <c r="A62" s="707" t="s">
        <v>305</v>
      </c>
      <c r="B62" s="247" t="s">
        <v>269</v>
      </c>
      <c r="C62" s="208" t="s">
        <v>28</v>
      </c>
      <c r="D62" s="208" t="s">
        <v>28</v>
      </c>
      <c r="E62" s="208" t="s">
        <v>28</v>
      </c>
      <c r="F62" s="208" t="s">
        <v>28</v>
      </c>
      <c r="G62" s="208" t="s">
        <v>28</v>
      </c>
      <c r="H62" s="208" t="s">
        <v>28</v>
      </c>
      <c r="I62" s="107"/>
    </row>
    <row r="63" spans="1:9" ht="36" customHeight="1" thickBot="1">
      <c r="A63" s="708"/>
      <c r="B63" s="278" t="s">
        <v>273</v>
      </c>
      <c r="C63" s="249">
        <f>IF(C62="OUI",INDEX('0-ACCUEIL &amp; PARAMETRES'!$F60:$N60,C8-1),0)</f>
        <v>0</v>
      </c>
      <c r="D63" s="249">
        <f>IF(D62="OUI",INDEX('0-ACCUEIL &amp; PARAMETRES'!$F60:$N60,D8-1),0)</f>
        <v>0</v>
      </c>
      <c r="E63" s="249">
        <f>IF(E62="OUI",INDEX('0-ACCUEIL &amp; PARAMETRES'!$F60:$N60,E8-1),0)</f>
        <v>0</v>
      </c>
      <c r="F63" s="249">
        <f>IF(F62="OUI",INDEX('0-ACCUEIL &amp; PARAMETRES'!$F60:$N60,F8-1),0)</f>
        <v>0</v>
      </c>
      <c r="G63" s="249">
        <f>IF(G62="OUI",INDEX('0-ACCUEIL &amp; PARAMETRES'!$F60:$N60,G8-1),0)</f>
        <v>0</v>
      </c>
      <c r="H63" s="249">
        <f>IF(H62="OUI",INDEX('0-ACCUEIL &amp; PARAMETRES'!$F60:$N60,H8-1),0)</f>
        <v>0</v>
      </c>
      <c r="I63" s="107"/>
    </row>
    <row r="64" spans="1:9" ht="20.100000000000001" customHeight="1">
      <c r="A64" s="404"/>
      <c r="B64" s="391" t="s">
        <v>270</v>
      </c>
      <c r="C64" s="248"/>
      <c r="D64" s="248"/>
      <c r="E64" s="248"/>
      <c r="F64" s="248"/>
      <c r="G64" s="248"/>
      <c r="H64" s="248"/>
      <c r="I64" s="107"/>
    </row>
    <row r="65" spans="1:12" ht="20.100000000000001" customHeight="1">
      <c r="A65" s="469" t="s">
        <v>23</v>
      </c>
      <c r="B65" s="207" t="s">
        <v>129</v>
      </c>
      <c r="C65" s="260"/>
      <c r="D65" s="260"/>
      <c r="E65" s="260"/>
      <c r="F65" s="260"/>
      <c r="G65" s="260"/>
      <c r="H65" s="260"/>
      <c r="I65" s="107"/>
    </row>
    <row r="66" spans="1:12" ht="20.100000000000001" customHeight="1">
      <c r="A66" s="469" t="s">
        <v>23</v>
      </c>
      <c r="B66" s="207" t="s">
        <v>122</v>
      </c>
      <c r="C66" s="260"/>
      <c r="D66" s="260"/>
      <c r="E66" s="260"/>
      <c r="F66" s="260"/>
      <c r="G66" s="260"/>
      <c r="H66" s="260"/>
      <c r="I66" s="107"/>
    </row>
    <row r="67" spans="1:12" ht="20.100000000000001" customHeight="1">
      <c r="A67" s="469" t="s">
        <v>23</v>
      </c>
      <c r="B67" s="246" t="s">
        <v>271</v>
      </c>
      <c r="C67" s="261"/>
      <c r="D67" s="261"/>
      <c r="E67" s="261"/>
      <c r="F67" s="261"/>
      <c r="G67" s="261"/>
      <c r="H67" s="261"/>
      <c r="I67" s="107"/>
    </row>
    <row r="68" spans="1:12" ht="20.100000000000001" customHeight="1">
      <c r="A68" s="404"/>
      <c r="B68" s="213" t="s">
        <v>272</v>
      </c>
      <c r="C68" s="221">
        <f>IF(ISBLANK(C67),0,INDEX('0-ACCUEIL &amp; PARAMETRES'!$F57:$N57,C8-1))</f>
        <v>0</v>
      </c>
      <c r="D68" s="221">
        <f>IF(ISBLANK(D67),0,INDEX('0-ACCUEIL &amp; PARAMETRES'!$F57:$N57,D8-1))</f>
        <v>0</v>
      </c>
      <c r="E68" s="221">
        <f>IF(ISBLANK(E67),0,INDEX('0-ACCUEIL &amp; PARAMETRES'!$F57:$N57,E8-1))</f>
        <v>0</v>
      </c>
      <c r="F68" s="221">
        <f>IF(ISBLANK(F67),0,INDEX('0-ACCUEIL &amp; PARAMETRES'!$F57:$N57,F8-1))</f>
        <v>0</v>
      </c>
      <c r="G68" s="221">
        <f>IF(ISBLANK(G67),0,INDEX('0-ACCUEIL &amp; PARAMETRES'!$F57:$N57,G8-1))</f>
        <v>0</v>
      </c>
      <c r="H68" s="221">
        <f>IF(ISBLANK(H67),0,INDEX('0-ACCUEIL &amp; PARAMETRES'!$F57:$N57,H8-1))</f>
        <v>0</v>
      </c>
      <c r="I68" s="107"/>
    </row>
    <row r="69" spans="1:12" ht="20.100000000000001" customHeight="1" thickBot="1">
      <c r="A69" s="404"/>
      <c r="B69" s="508" t="s">
        <v>319</v>
      </c>
      <c r="C69" s="411">
        <f>IF(ISBLANK(C67),0,IF(C62="OUI",0,IF(C65&lt;='0-ACCUEIL &amp; PARAMETRES'!$A62,IF(C66&lt;='0-ACCUEIL &amp; PARAMETRES'!$C62,VLOOKUP(1,'0-ACCUEIL &amp; PARAMETRES'!$E62:$N69,C8,0),VLOOKUP(2,'0-ACCUEIL &amp; PARAMETRES'!$E62:$N69,C8,0)),IF(C65&lt;='0-ACCUEIL &amp; PARAMETRES'!$A64,IF(C66&lt;='0-ACCUEIL &amp; PARAMETRES'!$C64,VLOOKUP(3,'0-ACCUEIL &amp; PARAMETRES'!$E62:$N69,C8,0),VLOOKUP(4,'0-ACCUEIL &amp; PARAMETRES'!$E62:$N69,C8,0)),IF(C65&lt;='0-ACCUEIL &amp; PARAMETRES'!$A66,IF(C66&lt;='0-ACCUEIL &amp; PARAMETRES'!$C66,VLOOKUP(5,'0-ACCUEIL &amp; PARAMETRES'!$E62:$N69,C8,0),VLOOKUP(6,'0-ACCUEIL &amp; PARAMETRES'!$E62:$N69,C8,0)),IF(C65&lt;='0-ACCUEIL &amp; PARAMETRES'!$A68,IF(C66&lt;='0-ACCUEIL &amp; PARAMETRES'!$C68,VLOOKUP(7,'0-ACCUEIL &amp; PARAMETRES'!$E62:$N69,C8,0),VLOOKUP(8,'0-ACCUEIL &amp; PARAMETRES'!$E62:$N69,C8,0)),0))))))</f>
        <v>0</v>
      </c>
      <c r="D69" s="411">
        <f>IF(ISBLANK(D67),0,IF(D62="OUI",0,IF(D65&lt;='0-ACCUEIL &amp; PARAMETRES'!$A62,IF(D66&lt;='0-ACCUEIL &amp; PARAMETRES'!$C62,VLOOKUP(1,'0-ACCUEIL &amp; PARAMETRES'!$E62:$N69,D8,0),VLOOKUP(2,'0-ACCUEIL &amp; PARAMETRES'!$E62:$N69,D8,0)),IF(D65&lt;='0-ACCUEIL &amp; PARAMETRES'!$A64,IF(D66&lt;='0-ACCUEIL &amp; PARAMETRES'!$C64,VLOOKUP(3,'0-ACCUEIL &amp; PARAMETRES'!$E62:$N69,D8,0),VLOOKUP(4,'0-ACCUEIL &amp; PARAMETRES'!$E62:$N69,D8,0)),IF(D65&lt;='0-ACCUEIL &amp; PARAMETRES'!$A66,IF(D66&lt;='0-ACCUEIL &amp; PARAMETRES'!$C66,VLOOKUP(5,'0-ACCUEIL &amp; PARAMETRES'!$E62:$N69,D8,0),VLOOKUP(6,'0-ACCUEIL &amp; PARAMETRES'!$E62:$N69,D8,0)),IF(D65&lt;='0-ACCUEIL &amp; PARAMETRES'!$A68,IF(D66&lt;='0-ACCUEIL &amp; PARAMETRES'!$C68,VLOOKUP(7,'0-ACCUEIL &amp; PARAMETRES'!$E62:$N69,D8,0),VLOOKUP(8,'0-ACCUEIL &amp; PARAMETRES'!$E62:$N69,D8,0)),0))))))</f>
        <v>0</v>
      </c>
      <c r="E69" s="411">
        <f>IF(ISBLANK(E67),0,IF(E62="OUI",0,IF(E65&lt;='0-ACCUEIL &amp; PARAMETRES'!$A62,IF(E66&lt;='0-ACCUEIL &amp; PARAMETRES'!$C62,VLOOKUP(1,'0-ACCUEIL &amp; PARAMETRES'!$E62:$N69,E8,0),VLOOKUP(2,'0-ACCUEIL &amp; PARAMETRES'!$E62:$N69,E8,0)),IF(E65&lt;='0-ACCUEIL &amp; PARAMETRES'!$A64,IF(E66&lt;='0-ACCUEIL &amp; PARAMETRES'!$C64,VLOOKUP(3,'0-ACCUEIL &amp; PARAMETRES'!$E62:$N69,E8,0),VLOOKUP(4,'0-ACCUEIL &amp; PARAMETRES'!$E62:$N69,E8,0)),IF(E65&lt;='0-ACCUEIL &amp; PARAMETRES'!$A66,IF(E66&lt;='0-ACCUEIL &amp; PARAMETRES'!$C66,VLOOKUP(5,'0-ACCUEIL &amp; PARAMETRES'!$E62:$N69,E8,0),VLOOKUP(6,'0-ACCUEIL &amp; PARAMETRES'!$E62:$N69,E8,0)),IF(E65&lt;='0-ACCUEIL &amp; PARAMETRES'!$A68,IF(E66&lt;='0-ACCUEIL &amp; PARAMETRES'!$C68,VLOOKUP(7,'0-ACCUEIL &amp; PARAMETRES'!$E62:$N69,E8,0),VLOOKUP(8,'0-ACCUEIL &amp; PARAMETRES'!$E62:$N69,E8,0)),0))))))</f>
        <v>0</v>
      </c>
      <c r="F69" s="411">
        <f>IF(ISBLANK(F67),0,IF(F62="OUI",0,IF(F65&lt;='0-ACCUEIL &amp; PARAMETRES'!$A62,IF(F66&lt;='0-ACCUEIL &amp; PARAMETRES'!$C62,VLOOKUP(1,'0-ACCUEIL &amp; PARAMETRES'!$E62:$N69,F8,0),VLOOKUP(2,'0-ACCUEIL &amp; PARAMETRES'!$E62:$N69,F8,0)),IF(F65&lt;='0-ACCUEIL &amp; PARAMETRES'!$A64,IF(F66&lt;='0-ACCUEIL &amp; PARAMETRES'!$C64,VLOOKUP(3,'0-ACCUEIL &amp; PARAMETRES'!$E62:$N69,F8,0),VLOOKUP(4,'0-ACCUEIL &amp; PARAMETRES'!$E62:$N69,F8,0)),IF(F65&lt;='0-ACCUEIL &amp; PARAMETRES'!$A66,IF(F66&lt;='0-ACCUEIL &amp; PARAMETRES'!$C66,VLOOKUP(5,'0-ACCUEIL &amp; PARAMETRES'!$E62:$N69,F8,0),VLOOKUP(6,'0-ACCUEIL &amp; PARAMETRES'!$E62:$N69,F8,0)),IF(F65&lt;='0-ACCUEIL &amp; PARAMETRES'!$A68,IF(F66&lt;='0-ACCUEIL &amp; PARAMETRES'!$C68,VLOOKUP(7,'0-ACCUEIL &amp; PARAMETRES'!$E62:$N69,F8,0),VLOOKUP(8,'0-ACCUEIL &amp; PARAMETRES'!$E62:$N69,F8,0)),0))))))</f>
        <v>0</v>
      </c>
      <c r="G69" s="411">
        <f>IF(ISBLANK(G67),0,IF(G62="OUI",0,IF(G65&lt;='0-ACCUEIL &amp; PARAMETRES'!$A62,IF(G66&lt;='0-ACCUEIL &amp; PARAMETRES'!$C62,VLOOKUP(1,'0-ACCUEIL &amp; PARAMETRES'!$E62:$N69,G8,0),VLOOKUP(2,'0-ACCUEIL &amp; PARAMETRES'!$E62:$N69,G8,0)),IF(G65&lt;='0-ACCUEIL &amp; PARAMETRES'!$A64,IF(G66&lt;='0-ACCUEIL &amp; PARAMETRES'!$C64,VLOOKUP(3,'0-ACCUEIL &amp; PARAMETRES'!$E62:$N69,G8,0),VLOOKUP(4,'0-ACCUEIL &amp; PARAMETRES'!$E62:$N69,G8,0)),IF(G65&lt;='0-ACCUEIL &amp; PARAMETRES'!$A66,IF(G66&lt;='0-ACCUEIL &amp; PARAMETRES'!$C66,VLOOKUP(5,'0-ACCUEIL &amp; PARAMETRES'!$E62:$N69,G8,0),VLOOKUP(6,'0-ACCUEIL &amp; PARAMETRES'!$E62:$N69,G8,0)),IF(G65&lt;='0-ACCUEIL &amp; PARAMETRES'!$A68,IF(G66&lt;='0-ACCUEIL &amp; PARAMETRES'!$C68,VLOOKUP(7,'0-ACCUEIL &amp; PARAMETRES'!$E62:$N69,G8,0),VLOOKUP(8,'0-ACCUEIL &amp; PARAMETRES'!$E62:$N69,G8,0)),0))))))</f>
        <v>0</v>
      </c>
      <c r="H69" s="411">
        <f>IF(ISBLANK(H67),0,IF(H62="OUI",0,IF(H65&lt;='0-ACCUEIL &amp; PARAMETRES'!$A62,IF(H66&lt;='0-ACCUEIL &amp; PARAMETRES'!$C62,VLOOKUP(1,'0-ACCUEIL &amp; PARAMETRES'!$E62:$N69,H8,0),VLOOKUP(2,'0-ACCUEIL &amp; PARAMETRES'!$E62:$N69,H8,0)),IF(H65&lt;='0-ACCUEIL &amp; PARAMETRES'!$A64,IF(H66&lt;='0-ACCUEIL &amp; PARAMETRES'!$C64,VLOOKUP(3,'0-ACCUEIL &amp; PARAMETRES'!$E62:$N69,H8,0),VLOOKUP(4,'0-ACCUEIL &amp; PARAMETRES'!$E62:$N69,H8,0)),IF(H65&lt;='0-ACCUEIL &amp; PARAMETRES'!$A66,IF(H66&lt;='0-ACCUEIL &amp; PARAMETRES'!$C66,VLOOKUP(5,'0-ACCUEIL &amp; PARAMETRES'!$E62:$N69,H8,0),VLOOKUP(6,'0-ACCUEIL &amp; PARAMETRES'!$E62:$N69,H8,0)),IF(H65&lt;='0-ACCUEIL &amp; PARAMETRES'!$A68,IF(H66&lt;='0-ACCUEIL &amp; PARAMETRES'!$C68,VLOOKUP(7,'0-ACCUEIL &amp; PARAMETRES'!$E62:$N69,H8,0),VLOOKUP(8,'0-ACCUEIL &amp; PARAMETRES'!$E62:$N69,H8,0)),0))))))</f>
        <v>0</v>
      </c>
      <c r="I69" s="107"/>
    </row>
    <row r="70" spans="1:12" ht="20.100000000000001" customHeight="1" thickBot="1">
      <c r="A70" s="404"/>
      <c r="B70" s="412" t="s">
        <v>263</v>
      </c>
      <c r="C70" s="413">
        <f>IF(C62="NON",C67*(C68+C69),C67*(C63+C68))</f>
        <v>0</v>
      </c>
      <c r="D70" s="413">
        <f t="shared" ref="D70:H70" si="17">IF(D62="NON",D67*(D68+D69),D67*(D63+D68))</f>
        <v>0</v>
      </c>
      <c r="E70" s="413">
        <f t="shared" si="17"/>
        <v>0</v>
      </c>
      <c r="F70" s="413">
        <f t="shared" si="17"/>
        <v>0</v>
      </c>
      <c r="G70" s="413">
        <f t="shared" si="17"/>
        <v>0</v>
      </c>
      <c r="H70" s="413">
        <f t="shared" si="17"/>
        <v>0</v>
      </c>
      <c r="I70" s="277"/>
    </row>
    <row r="71" spans="1:12" ht="15.95" customHeight="1" thickBot="1">
      <c r="B71" s="401"/>
      <c r="C71" s="402"/>
      <c r="D71" s="402"/>
      <c r="E71" s="402"/>
      <c r="F71" s="402"/>
      <c r="G71" s="402"/>
      <c r="H71" s="402"/>
      <c r="I71" s="403"/>
    </row>
    <row r="72" spans="1:12" ht="20.100000000000001" customHeight="1" thickBot="1">
      <c r="B72" s="695" t="s">
        <v>15</v>
      </c>
      <c r="C72" s="696"/>
      <c r="D72" s="696"/>
      <c r="E72" s="696"/>
      <c r="F72" s="696"/>
      <c r="G72" s="696"/>
      <c r="H72" s="697"/>
      <c r="I72" s="107"/>
    </row>
    <row r="73" spans="1:12" ht="20.100000000000001" customHeight="1">
      <c r="B73" s="425" t="s">
        <v>107</v>
      </c>
      <c r="C73" s="406"/>
      <c r="D73" s="406"/>
      <c r="E73" s="406"/>
      <c r="F73" s="406"/>
      <c r="G73" s="406"/>
      <c r="H73" s="407"/>
      <c r="I73" s="116"/>
      <c r="L73" s="341">
        <v>38</v>
      </c>
    </row>
    <row r="74" spans="1:12" ht="45">
      <c r="B74" s="426" t="s">
        <v>318</v>
      </c>
      <c r="C74" s="212">
        <v>52218.29</v>
      </c>
      <c r="D74" s="212" t="e">
        <f t="shared" ref="D74:H74" si="18">IF(D35&lt;D36,((D28+D34)*D35*0.66*D29),((D28+D34)*ROUND(D36*0.66,2)*D29))</f>
        <v>#N/A</v>
      </c>
      <c r="E74" s="212" t="e">
        <f t="shared" si="18"/>
        <v>#N/A</v>
      </c>
      <c r="F74" s="212" t="e">
        <f t="shared" si="18"/>
        <v>#N/A</v>
      </c>
      <c r="G74" s="212" t="e">
        <f t="shared" si="18"/>
        <v>#N/A</v>
      </c>
      <c r="H74" s="408" t="e">
        <f t="shared" si="18"/>
        <v>#N/A</v>
      </c>
      <c r="I74" s="115"/>
      <c r="L74" s="341">
        <v>39</v>
      </c>
    </row>
    <row r="75" spans="1:12" ht="36" customHeight="1">
      <c r="B75" s="464" t="s">
        <v>291</v>
      </c>
      <c r="C75" s="212"/>
      <c r="D75" s="212" t="e">
        <f t="shared" ref="D75:H75" si="19">IF(D35&lt;D36,((D28+D34)*D35*0.66),((D28+D34)*ROUND(D36*0.66,2)))-IF(D35&lt;D36,((D28+D34)*D35*0.66*D29),((D28+D34)*ROUND(D36*0.66,2)*D29))</f>
        <v>#N/A</v>
      </c>
      <c r="E75" s="212" t="e">
        <f t="shared" si="19"/>
        <v>#N/A</v>
      </c>
      <c r="F75" s="212" t="e">
        <f t="shared" si="19"/>
        <v>#N/A</v>
      </c>
      <c r="G75" s="212" t="e">
        <f t="shared" si="19"/>
        <v>#N/A</v>
      </c>
      <c r="H75" s="212" t="e">
        <f t="shared" si="19"/>
        <v>#N/A</v>
      </c>
      <c r="I75" s="115"/>
    </row>
    <row r="76" spans="1:12" ht="20.100000000000001" customHeight="1">
      <c r="B76" s="427" t="s">
        <v>113</v>
      </c>
      <c r="C76" s="212">
        <f t="shared" ref="C76:H76" si="20">C44</f>
        <v>0</v>
      </c>
      <c r="D76" s="212">
        <f t="shared" si="20"/>
        <v>0</v>
      </c>
      <c r="E76" s="212">
        <f t="shared" si="20"/>
        <v>0</v>
      </c>
      <c r="F76" s="212">
        <f t="shared" si="20"/>
        <v>0</v>
      </c>
      <c r="G76" s="212">
        <f t="shared" si="20"/>
        <v>0</v>
      </c>
      <c r="H76" s="408">
        <f t="shared" si="20"/>
        <v>0</v>
      </c>
      <c r="I76" s="115"/>
      <c r="L76" s="341">
        <v>43</v>
      </c>
    </row>
    <row r="77" spans="1:12" ht="20.100000000000001" customHeight="1">
      <c r="B77" s="427" t="s">
        <v>288</v>
      </c>
      <c r="C77" s="212" t="e">
        <f t="shared" ref="C77:H77" si="21">C58</f>
        <v>#N/A</v>
      </c>
      <c r="D77" s="212" t="e">
        <f t="shared" si="21"/>
        <v>#N/A</v>
      </c>
      <c r="E77" s="212" t="e">
        <f t="shared" si="21"/>
        <v>#N/A</v>
      </c>
      <c r="F77" s="212" t="e">
        <f t="shared" si="21"/>
        <v>#N/A</v>
      </c>
      <c r="G77" s="212" t="e">
        <f t="shared" si="21"/>
        <v>#N/A</v>
      </c>
      <c r="H77" s="408" t="e">
        <f t="shared" si="21"/>
        <v>#N/A</v>
      </c>
      <c r="I77" s="115"/>
      <c r="L77" s="341">
        <v>44</v>
      </c>
    </row>
    <row r="78" spans="1:12" ht="20.100000000000001" customHeight="1">
      <c r="B78" s="427" t="s">
        <v>112</v>
      </c>
      <c r="C78" s="262">
        <f t="shared" ref="C78:H78" si="22">C70</f>
        <v>0</v>
      </c>
      <c r="D78" s="262">
        <f t="shared" si="22"/>
        <v>0</v>
      </c>
      <c r="E78" s="262">
        <f t="shared" si="22"/>
        <v>0</v>
      </c>
      <c r="F78" s="262">
        <f t="shared" si="22"/>
        <v>0</v>
      </c>
      <c r="G78" s="262">
        <f t="shared" si="22"/>
        <v>0</v>
      </c>
      <c r="H78" s="409">
        <f t="shared" si="22"/>
        <v>0</v>
      </c>
      <c r="I78" s="115"/>
      <c r="L78" s="341">
        <v>45</v>
      </c>
    </row>
    <row r="79" spans="1:12" ht="20.100000000000001" customHeight="1">
      <c r="A79" s="465" t="s">
        <v>23</v>
      </c>
      <c r="B79" s="428" t="s">
        <v>293</v>
      </c>
      <c r="C79" s="263"/>
      <c r="D79" s="263"/>
      <c r="E79" s="263"/>
      <c r="F79" s="263"/>
      <c r="G79" s="263"/>
      <c r="H79" s="263"/>
      <c r="I79" s="107"/>
      <c r="L79" s="341">
        <v>47</v>
      </c>
    </row>
    <row r="80" spans="1:12" ht="20.100000000000001" customHeight="1">
      <c r="A80" s="465" t="s">
        <v>23</v>
      </c>
      <c r="B80" s="428" t="s">
        <v>294</v>
      </c>
      <c r="C80" s="263"/>
      <c r="D80" s="263"/>
      <c r="E80" s="263"/>
      <c r="F80" s="263"/>
      <c r="G80" s="263"/>
      <c r="H80" s="263"/>
      <c r="I80" s="107"/>
      <c r="L80" s="341">
        <v>48</v>
      </c>
    </row>
    <row r="81" spans="1:16" ht="20.100000000000001" customHeight="1" thickBot="1">
      <c r="A81" s="465" t="s">
        <v>23</v>
      </c>
      <c r="B81" s="429" t="s">
        <v>343</v>
      </c>
      <c r="C81" s="264"/>
      <c r="D81" s="264"/>
      <c r="E81" s="264"/>
      <c r="F81" s="264"/>
      <c r="G81" s="264"/>
      <c r="H81" s="264"/>
      <c r="I81" s="107"/>
      <c r="L81" s="341">
        <v>49</v>
      </c>
    </row>
    <row r="82" spans="1:16" ht="20.100000000000001" customHeight="1" thickBot="1">
      <c r="B82" s="430" t="s">
        <v>106</v>
      </c>
      <c r="C82" s="265" t="e">
        <f>SUM(C74:C81)</f>
        <v>#N/A</v>
      </c>
      <c r="D82" s="265" t="e">
        <f t="shared" ref="D82:H82" si="23">SUM(D74:D81)</f>
        <v>#N/A</v>
      </c>
      <c r="E82" s="265" t="e">
        <f t="shared" si="23"/>
        <v>#N/A</v>
      </c>
      <c r="F82" s="265" t="e">
        <f t="shared" si="23"/>
        <v>#N/A</v>
      </c>
      <c r="G82" s="265" t="e">
        <f t="shared" si="23"/>
        <v>#N/A</v>
      </c>
      <c r="H82" s="265" t="e">
        <f t="shared" si="23"/>
        <v>#N/A</v>
      </c>
      <c r="I82" s="107"/>
      <c r="L82" s="341">
        <v>50</v>
      </c>
    </row>
    <row r="83" spans="1:16" ht="20.100000000000001" customHeight="1">
      <c r="B83" s="431" t="s">
        <v>105</v>
      </c>
      <c r="C83" s="266"/>
      <c r="D83" s="266"/>
      <c r="E83" s="266"/>
      <c r="F83" s="266"/>
      <c r="G83" s="266"/>
      <c r="H83" s="266"/>
      <c r="I83" s="107"/>
      <c r="L83" s="341">
        <v>51</v>
      </c>
    </row>
    <row r="84" spans="1:16" ht="20.100000000000001" customHeight="1">
      <c r="A84" s="465" t="s">
        <v>23</v>
      </c>
      <c r="B84" s="432" t="s">
        <v>297</v>
      </c>
      <c r="C84" s="268"/>
      <c r="D84" s="268"/>
      <c r="E84" s="268"/>
      <c r="F84" s="268"/>
      <c r="G84" s="268"/>
      <c r="H84" s="268"/>
      <c r="I84" s="107"/>
      <c r="L84" s="341">
        <v>53</v>
      </c>
    </row>
    <row r="85" spans="1:16" ht="20.100000000000001" customHeight="1">
      <c r="A85" s="465" t="s">
        <v>23</v>
      </c>
      <c r="B85" s="432" t="s">
        <v>16</v>
      </c>
      <c r="C85" s="269"/>
      <c r="D85" s="269"/>
      <c r="E85" s="269"/>
      <c r="F85" s="269"/>
      <c r="G85" s="269"/>
      <c r="H85" s="269"/>
      <c r="I85" s="107"/>
      <c r="L85" s="341">
        <v>54</v>
      </c>
    </row>
    <row r="86" spans="1:16" ht="20.100000000000001" customHeight="1">
      <c r="A86" s="465" t="s">
        <v>23</v>
      </c>
      <c r="B86" s="432" t="s">
        <v>256</v>
      </c>
      <c r="C86" s="268"/>
      <c r="D86" s="269"/>
      <c r="E86" s="269"/>
      <c r="F86" s="269"/>
      <c r="G86" s="269"/>
      <c r="H86" s="269"/>
      <c r="I86" s="107"/>
      <c r="L86" s="341">
        <v>55</v>
      </c>
    </row>
    <row r="87" spans="1:16" ht="20.100000000000001" customHeight="1">
      <c r="A87" s="465" t="s">
        <v>23</v>
      </c>
      <c r="B87" s="432" t="s">
        <v>292</v>
      </c>
      <c r="C87" s="269"/>
      <c r="D87" s="269"/>
      <c r="E87" s="269"/>
      <c r="F87" s="269"/>
      <c r="G87" s="269"/>
      <c r="H87" s="269"/>
      <c r="I87" s="107"/>
      <c r="L87" s="341">
        <v>56</v>
      </c>
      <c r="P87" s="53"/>
    </row>
    <row r="88" spans="1:16" ht="20.100000000000001" customHeight="1">
      <c r="A88" s="465"/>
      <c r="B88" s="432" t="s">
        <v>344</v>
      </c>
      <c r="C88" s="269"/>
      <c r="D88" s="269"/>
      <c r="E88" s="269"/>
      <c r="F88" s="269"/>
      <c r="G88" s="269"/>
      <c r="H88" s="269"/>
      <c r="I88" s="107"/>
      <c r="P88" s="53"/>
    </row>
    <row r="89" spans="1:16" ht="20.100000000000001" customHeight="1">
      <c r="A89" s="465"/>
      <c r="B89" s="432" t="s">
        <v>345</v>
      </c>
      <c r="C89" s="269"/>
      <c r="D89" s="269"/>
      <c r="E89" s="269"/>
      <c r="F89" s="269"/>
      <c r="G89" s="269"/>
      <c r="H89" s="269"/>
      <c r="I89" s="107"/>
      <c r="P89" s="53"/>
    </row>
    <row r="90" spans="1:16" ht="20.100000000000001" customHeight="1">
      <c r="A90" s="465" t="s">
        <v>23</v>
      </c>
      <c r="B90" s="432" t="s">
        <v>321</v>
      </c>
      <c r="C90" s="268"/>
      <c r="D90" s="269"/>
      <c r="E90" s="269"/>
      <c r="F90" s="269"/>
      <c r="G90" s="269"/>
      <c r="H90" s="269"/>
      <c r="I90" s="107"/>
      <c r="L90" s="341">
        <v>58</v>
      </c>
      <c r="P90" s="53"/>
    </row>
    <row r="91" spans="1:16" ht="20.100000000000001" customHeight="1">
      <c r="A91" s="465" t="s">
        <v>23</v>
      </c>
      <c r="B91" s="433" t="s">
        <v>296</v>
      </c>
      <c r="C91" s="269"/>
      <c r="D91" s="269"/>
      <c r="E91" s="269"/>
      <c r="F91" s="269"/>
      <c r="G91" s="269"/>
      <c r="H91" s="269"/>
      <c r="I91" s="107"/>
      <c r="L91" s="341">
        <v>59</v>
      </c>
    </row>
    <row r="92" spans="1:16" ht="20.100000000000001" customHeight="1" thickBot="1">
      <c r="A92" s="465" t="s">
        <v>23</v>
      </c>
      <c r="B92" s="433" t="s">
        <v>295</v>
      </c>
      <c r="C92" s="268"/>
      <c r="D92" s="269"/>
      <c r="E92" s="269"/>
      <c r="F92" s="269"/>
      <c r="G92" s="269"/>
      <c r="H92" s="269"/>
      <c r="I92" s="107"/>
      <c r="L92" s="341">
        <v>60</v>
      </c>
    </row>
    <row r="93" spans="1:16" ht="20.100000000000001" customHeight="1" thickBot="1">
      <c r="B93" s="430" t="s">
        <v>104</v>
      </c>
      <c r="C93" s="270">
        <f t="shared" ref="C93:H93" si="24">SUM(C84:C92)</f>
        <v>0</v>
      </c>
      <c r="D93" s="270">
        <f t="shared" si="24"/>
        <v>0</v>
      </c>
      <c r="E93" s="270">
        <f t="shared" si="24"/>
        <v>0</v>
      </c>
      <c r="F93" s="270">
        <f t="shared" si="24"/>
        <v>0</v>
      </c>
      <c r="G93" s="270">
        <f t="shared" si="24"/>
        <v>0</v>
      </c>
      <c r="H93" s="270">
        <f t="shared" si="24"/>
        <v>0</v>
      </c>
      <c r="I93" s="107"/>
      <c r="L93" s="341">
        <v>61</v>
      </c>
    </row>
    <row r="94" spans="1:16" ht="20.100000000000001" customHeight="1">
      <c r="B94" s="431" t="s">
        <v>298</v>
      </c>
      <c r="C94" s="266"/>
      <c r="D94" s="266"/>
      <c r="E94" s="266"/>
      <c r="F94" s="266"/>
      <c r="G94" s="266"/>
      <c r="H94" s="266"/>
      <c r="I94" s="107"/>
      <c r="L94" s="341">
        <v>62</v>
      </c>
    </row>
    <row r="95" spans="1:16" ht="20.100000000000001" customHeight="1">
      <c r="A95" s="465" t="s">
        <v>23</v>
      </c>
      <c r="B95" s="429" t="s">
        <v>299</v>
      </c>
      <c r="C95" s="268"/>
      <c r="D95" s="268"/>
      <c r="E95" s="268"/>
      <c r="F95" s="268"/>
      <c r="G95" s="268"/>
      <c r="H95" s="268"/>
      <c r="I95" s="107"/>
      <c r="L95" s="341">
        <v>63</v>
      </c>
    </row>
    <row r="96" spans="1:16" ht="20.100000000000001" customHeight="1" thickBot="1">
      <c r="A96" s="465" t="s">
        <v>23</v>
      </c>
      <c r="B96" s="429" t="s">
        <v>103</v>
      </c>
      <c r="C96" s="269"/>
      <c r="D96" s="269"/>
      <c r="E96" s="269"/>
      <c r="F96" s="269"/>
      <c r="G96" s="269"/>
      <c r="H96" s="269"/>
      <c r="I96" s="107"/>
      <c r="L96" s="341">
        <v>66</v>
      </c>
    </row>
    <row r="97" spans="1:12" ht="20.100000000000001" customHeight="1" thickBot="1">
      <c r="B97" s="430" t="s">
        <v>102</v>
      </c>
      <c r="C97" s="270">
        <f t="shared" ref="C97:H97" si="25">SUM(C95:C96)</f>
        <v>0</v>
      </c>
      <c r="D97" s="270">
        <f t="shared" si="25"/>
        <v>0</v>
      </c>
      <c r="E97" s="270">
        <f t="shared" si="25"/>
        <v>0</v>
      </c>
      <c r="F97" s="270">
        <f t="shared" si="25"/>
        <v>0</v>
      </c>
      <c r="G97" s="270">
        <f t="shared" si="25"/>
        <v>0</v>
      </c>
      <c r="H97" s="270">
        <f t="shared" si="25"/>
        <v>0</v>
      </c>
      <c r="I97" s="107"/>
      <c r="L97" s="341">
        <v>67</v>
      </c>
    </row>
    <row r="98" spans="1:12" ht="20.100000000000001" customHeight="1">
      <c r="B98" s="431" t="s">
        <v>101</v>
      </c>
      <c r="C98" s="266"/>
      <c r="D98" s="266"/>
      <c r="E98" s="266"/>
      <c r="F98" s="266"/>
      <c r="G98" s="266"/>
      <c r="H98" s="266"/>
      <c r="I98" s="107"/>
      <c r="L98" s="341">
        <v>68</v>
      </c>
    </row>
    <row r="99" spans="1:12" ht="20.100000000000001" customHeight="1">
      <c r="A99" s="465" t="s">
        <v>23</v>
      </c>
      <c r="B99" s="429" t="s">
        <v>100</v>
      </c>
      <c r="C99" s="268"/>
      <c r="D99" s="268"/>
      <c r="E99" s="268"/>
      <c r="F99" s="268"/>
      <c r="G99" s="268"/>
      <c r="H99" s="268"/>
      <c r="I99" s="107"/>
      <c r="L99" s="341">
        <v>69</v>
      </c>
    </row>
    <row r="100" spans="1:12" ht="20.100000000000001" customHeight="1" thickBot="1">
      <c r="A100" s="465" t="s">
        <v>23</v>
      </c>
      <c r="B100" s="429"/>
      <c r="C100" s="269"/>
      <c r="D100" s="269"/>
      <c r="E100" s="269"/>
      <c r="F100" s="269"/>
      <c r="G100" s="269"/>
      <c r="H100" s="269"/>
      <c r="I100" s="107"/>
      <c r="L100" s="341">
        <v>70</v>
      </c>
    </row>
    <row r="101" spans="1:12" ht="20.100000000000001" customHeight="1" thickBot="1">
      <c r="B101" s="430" t="s">
        <v>99</v>
      </c>
      <c r="C101" s="270">
        <f>SUM(C99:C100)</f>
        <v>0</v>
      </c>
      <c r="D101" s="270">
        <f t="shared" ref="D101:H101" si="26">SUM(D99:D100)</f>
        <v>0</v>
      </c>
      <c r="E101" s="270">
        <f t="shared" si="26"/>
        <v>0</v>
      </c>
      <c r="F101" s="270">
        <f t="shared" si="26"/>
        <v>0</v>
      </c>
      <c r="G101" s="270">
        <f t="shared" si="26"/>
        <v>0</v>
      </c>
      <c r="H101" s="270">
        <f t="shared" si="26"/>
        <v>0</v>
      </c>
      <c r="I101" s="107"/>
      <c r="L101" s="341">
        <v>71</v>
      </c>
    </row>
    <row r="102" spans="1:12" ht="20.100000000000001" customHeight="1">
      <c r="B102" s="431" t="s">
        <v>98</v>
      </c>
      <c r="C102" s="266"/>
      <c r="D102" s="266"/>
      <c r="E102" s="266"/>
      <c r="F102" s="266"/>
      <c r="G102" s="266"/>
      <c r="H102" s="266"/>
      <c r="I102" s="107"/>
      <c r="L102" s="341">
        <v>72</v>
      </c>
    </row>
    <row r="103" spans="1:12" ht="20.100000000000001" customHeight="1">
      <c r="A103" s="465" t="s">
        <v>23</v>
      </c>
      <c r="B103" s="429" t="s">
        <v>258</v>
      </c>
      <c r="C103" s="268"/>
      <c r="D103" s="268"/>
      <c r="E103" s="268"/>
      <c r="F103" s="268"/>
      <c r="G103" s="268"/>
      <c r="H103" s="268"/>
      <c r="I103" s="107"/>
      <c r="L103" s="341">
        <v>73</v>
      </c>
    </row>
    <row r="104" spans="1:12" ht="20.100000000000001" customHeight="1">
      <c r="A104" s="465" t="s">
        <v>23</v>
      </c>
      <c r="B104" s="434" t="s">
        <v>245</v>
      </c>
      <c r="C104" s="269"/>
      <c r="D104" s="269"/>
      <c r="E104" s="269"/>
      <c r="F104" s="269"/>
      <c r="G104" s="269"/>
      <c r="H104" s="269"/>
      <c r="I104" s="107"/>
      <c r="L104" s="341">
        <v>74</v>
      </c>
    </row>
    <row r="105" spans="1:12" ht="20.100000000000001" customHeight="1" thickBot="1">
      <c r="A105" s="465" t="s">
        <v>23</v>
      </c>
      <c r="B105" s="429" t="s">
        <v>246</v>
      </c>
      <c r="C105" s="268"/>
      <c r="D105" s="269"/>
      <c r="E105" s="269"/>
      <c r="F105" s="269"/>
      <c r="G105" s="269"/>
      <c r="H105" s="269"/>
      <c r="I105" s="107"/>
      <c r="L105" s="341">
        <v>75</v>
      </c>
    </row>
    <row r="106" spans="1:12" ht="20.100000000000001" customHeight="1" thickBot="1">
      <c r="B106" s="430" t="s">
        <v>97</v>
      </c>
      <c r="C106" s="265">
        <f>SUM(C103:C105)</f>
        <v>0</v>
      </c>
      <c r="D106" s="265">
        <f t="shared" ref="D106:H106" si="27">SUM(D103:D105)</f>
        <v>0</v>
      </c>
      <c r="E106" s="265">
        <f t="shared" si="27"/>
        <v>0</v>
      </c>
      <c r="F106" s="265">
        <f t="shared" si="27"/>
        <v>0</v>
      </c>
      <c r="G106" s="265">
        <f t="shared" si="27"/>
        <v>0</v>
      </c>
      <c r="H106" s="265">
        <f t="shared" si="27"/>
        <v>0</v>
      </c>
      <c r="I106" s="107"/>
      <c r="L106" s="341">
        <v>76</v>
      </c>
    </row>
    <row r="107" spans="1:12" ht="20.100000000000001" customHeight="1">
      <c r="B107" s="431" t="s">
        <v>96</v>
      </c>
      <c r="C107" s="266"/>
      <c r="D107" s="266"/>
      <c r="E107" s="266"/>
      <c r="F107" s="266"/>
      <c r="G107" s="266"/>
      <c r="H107" s="266"/>
      <c r="I107" s="107"/>
    </row>
    <row r="108" spans="1:12" ht="20.100000000000001" customHeight="1">
      <c r="A108" s="465" t="s">
        <v>23</v>
      </c>
      <c r="B108" s="434" t="s">
        <v>95</v>
      </c>
      <c r="C108" s="268"/>
      <c r="D108" s="268"/>
      <c r="E108" s="268"/>
      <c r="F108" s="268"/>
      <c r="G108" s="268"/>
      <c r="H108" s="268"/>
      <c r="I108" s="114"/>
    </row>
    <row r="109" spans="1:12" ht="20.100000000000001" customHeight="1" thickBot="1">
      <c r="A109" s="465" t="s">
        <v>23</v>
      </c>
      <c r="B109" s="435" t="s">
        <v>94</v>
      </c>
      <c r="C109" s="269"/>
      <c r="D109" s="269"/>
      <c r="E109" s="269"/>
      <c r="F109" s="269"/>
      <c r="G109" s="269"/>
      <c r="H109" s="269"/>
      <c r="I109" s="107"/>
    </row>
    <row r="110" spans="1:12" ht="20.100000000000001" customHeight="1" thickBot="1">
      <c r="B110" s="430" t="s">
        <v>93</v>
      </c>
      <c r="C110" s="265">
        <f t="shared" ref="C110" si="28">SUM(C108:C109)</f>
        <v>0</v>
      </c>
      <c r="D110" s="265">
        <f t="shared" ref="D110" si="29">SUM(D108:D109)</f>
        <v>0</v>
      </c>
      <c r="E110" s="265">
        <f t="shared" ref="E110" si="30">SUM(E108:E109)</f>
        <v>0</v>
      </c>
      <c r="F110" s="265">
        <f t="shared" ref="F110" si="31">SUM(F108:F109)</f>
        <v>0</v>
      </c>
      <c r="G110" s="265">
        <f t="shared" ref="G110" si="32">SUM(G108:G109)</f>
        <v>0</v>
      </c>
      <c r="H110" s="265">
        <f t="shared" ref="H110" si="33">SUM(H108:H109)</f>
        <v>0</v>
      </c>
      <c r="I110" s="107"/>
    </row>
    <row r="111" spans="1:12" ht="20.100000000000001" customHeight="1">
      <c r="B111" s="431" t="s">
        <v>92</v>
      </c>
      <c r="C111" s="266"/>
      <c r="D111" s="266"/>
      <c r="E111" s="266"/>
      <c r="F111" s="266"/>
      <c r="G111" s="266"/>
      <c r="H111" s="266"/>
      <c r="I111" s="107"/>
      <c r="L111" s="341">
        <v>77</v>
      </c>
    </row>
    <row r="112" spans="1:12" ht="20.100000000000001" customHeight="1">
      <c r="A112" s="465" t="s">
        <v>23</v>
      </c>
      <c r="B112" s="436" t="s">
        <v>91</v>
      </c>
      <c r="C112" s="268"/>
      <c r="D112" s="268"/>
      <c r="E112" s="268"/>
      <c r="F112" s="268"/>
      <c r="G112" s="268"/>
      <c r="H112" s="268"/>
      <c r="I112" s="107"/>
      <c r="L112" s="341">
        <v>78</v>
      </c>
    </row>
    <row r="113" spans="1:12" ht="20.100000000000001" customHeight="1">
      <c r="A113" s="465" t="s">
        <v>23</v>
      </c>
      <c r="B113" s="436" t="s">
        <v>90</v>
      </c>
      <c r="C113" s="269"/>
      <c r="D113" s="269"/>
      <c r="E113" s="269"/>
      <c r="F113" s="269"/>
      <c r="G113" s="269"/>
      <c r="H113" s="269"/>
      <c r="I113" s="107"/>
      <c r="L113" s="341">
        <v>79</v>
      </c>
    </row>
    <row r="114" spans="1:12" ht="20.100000000000001" customHeight="1" thickBot="1">
      <c r="A114" s="465" t="s">
        <v>23</v>
      </c>
      <c r="B114" s="429" t="s">
        <v>89</v>
      </c>
      <c r="C114" s="268"/>
      <c r="D114" s="269"/>
      <c r="E114" s="269"/>
      <c r="F114" s="269"/>
      <c r="G114" s="269"/>
      <c r="H114" s="269"/>
      <c r="I114" s="107"/>
      <c r="L114" s="341">
        <v>80</v>
      </c>
    </row>
    <row r="115" spans="1:12" ht="20.100000000000001" customHeight="1" thickBot="1">
      <c r="B115" s="430" t="s">
        <v>88</v>
      </c>
      <c r="C115" s="265">
        <f t="shared" ref="C115" si="34">SUM(C112:C114)</f>
        <v>0</v>
      </c>
      <c r="D115" s="265">
        <f t="shared" ref="D115" si="35">SUM(D112:D114)</f>
        <v>0</v>
      </c>
      <c r="E115" s="265">
        <f t="shared" ref="E115" si="36">SUM(E112:E114)</f>
        <v>0</v>
      </c>
      <c r="F115" s="265">
        <f t="shared" ref="F115" si="37">SUM(F112:F114)</f>
        <v>0</v>
      </c>
      <c r="G115" s="265">
        <f t="shared" ref="G115" si="38">SUM(G112:G114)</f>
        <v>0</v>
      </c>
      <c r="H115" s="265">
        <f t="shared" ref="H115" si="39">SUM(H112:H114)</f>
        <v>0</v>
      </c>
      <c r="I115" s="107"/>
      <c r="L115" s="341">
        <v>81</v>
      </c>
    </row>
    <row r="116" spans="1:12" ht="20.100000000000001" customHeight="1" thickBot="1">
      <c r="B116" s="431"/>
      <c r="C116" s="266"/>
      <c r="D116" s="266"/>
      <c r="E116" s="266"/>
      <c r="F116" s="266"/>
      <c r="G116" s="266"/>
      <c r="H116" s="266"/>
      <c r="I116" s="107"/>
      <c r="L116" s="341">
        <v>82</v>
      </c>
    </row>
    <row r="117" spans="1:12" ht="36.950000000000003" customHeight="1" thickBot="1">
      <c r="B117" s="437" t="s">
        <v>302</v>
      </c>
      <c r="C117" s="265">
        <f t="shared" ref="C117" si="40">C192</f>
        <v>0</v>
      </c>
      <c r="D117" s="265">
        <f t="shared" ref="D117:H117" si="41">D192</f>
        <v>0</v>
      </c>
      <c r="E117" s="265">
        <f t="shared" si="41"/>
        <v>0</v>
      </c>
      <c r="F117" s="265">
        <f t="shared" si="41"/>
        <v>0</v>
      </c>
      <c r="G117" s="265">
        <f t="shared" si="41"/>
        <v>0</v>
      </c>
      <c r="H117" s="265">
        <f t="shared" si="41"/>
        <v>0</v>
      </c>
      <c r="I117" s="107"/>
      <c r="L117" s="341">
        <v>83</v>
      </c>
    </row>
    <row r="118" spans="1:12" ht="20.100000000000001" customHeight="1" thickBot="1">
      <c r="B118" s="438"/>
      <c r="C118" s="272"/>
      <c r="D118" s="272"/>
      <c r="E118" s="272"/>
      <c r="F118" s="272"/>
      <c r="G118" s="272"/>
      <c r="H118" s="272"/>
      <c r="I118" s="107"/>
      <c r="L118" s="341">
        <v>84</v>
      </c>
    </row>
    <row r="119" spans="1:12" ht="21.95" customHeight="1" thickBot="1">
      <c r="B119" s="439" t="s">
        <v>17</v>
      </c>
      <c r="C119" s="421" t="e">
        <f t="shared" ref="C119:H119" si="42">C82+C93+C97+C101+C106+C110+C115+C117</f>
        <v>#N/A</v>
      </c>
      <c r="D119" s="421" t="e">
        <f t="shared" si="42"/>
        <v>#N/A</v>
      </c>
      <c r="E119" s="421" t="e">
        <f t="shared" si="42"/>
        <v>#N/A</v>
      </c>
      <c r="F119" s="421" t="e">
        <f t="shared" si="42"/>
        <v>#N/A</v>
      </c>
      <c r="G119" s="421" t="e">
        <f t="shared" si="42"/>
        <v>#N/A</v>
      </c>
      <c r="H119" s="421" t="e">
        <f t="shared" si="42"/>
        <v>#N/A</v>
      </c>
      <c r="I119" s="107"/>
      <c r="L119" s="341">
        <v>85</v>
      </c>
    </row>
    <row r="120" spans="1:12" ht="26.1" customHeight="1">
      <c r="B120" s="112" t="str">
        <f>B1</f>
        <v>XXXXXXXX</v>
      </c>
      <c r="C120" s="113"/>
      <c r="D120" s="113"/>
      <c r="E120" s="113"/>
      <c r="F120" s="113"/>
      <c r="G120" s="113"/>
      <c r="H120" s="113"/>
      <c r="I120" s="51"/>
      <c r="L120" s="341">
        <v>86</v>
      </c>
    </row>
    <row r="121" spans="1:12" ht="26.1" customHeight="1" thickBot="1">
      <c r="B121" s="112" t="str">
        <f>B2</f>
        <v>EAJE</v>
      </c>
      <c r="C121" s="108"/>
      <c r="D121" s="108"/>
      <c r="E121" s="108"/>
      <c r="F121" s="108"/>
      <c r="G121" s="108"/>
      <c r="H121" s="108"/>
      <c r="I121" s="51"/>
      <c r="L121" s="341">
        <v>87</v>
      </c>
    </row>
    <row r="122" spans="1:12" ht="20.100000000000001" customHeight="1" thickBot="1">
      <c r="B122" s="709" t="s">
        <v>18</v>
      </c>
      <c r="C122" s="710"/>
      <c r="D122" s="710"/>
      <c r="E122" s="710"/>
      <c r="F122" s="710"/>
      <c r="G122" s="710"/>
      <c r="H122" s="711"/>
      <c r="I122" s="107"/>
      <c r="L122" s="341">
        <v>88</v>
      </c>
    </row>
    <row r="123" spans="1:12" ht="20.100000000000001" customHeight="1">
      <c r="B123" s="431" t="s">
        <v>87</v>
      </c>
      <c r="C123" s="266"/>
      <c r="D123" s="266"/>
      <c r="E123" s="266"/>
      <c r="F123" s="266"/>
      <c r="G123" s="266"/>
      <c r="H123" s="266"/>
      <c r="I123" s="107"/>
      <c r="L123" s="341">
        <v>90</v>
      </c>
    </row>
    <row r="124" spans="1:12" ht="20.100000000000001" customHeight="1">
      <c r="A124" s="465"/>
      <c r="B124" s="429" t="s">
        <v>325</v>
      </c>
      <c r="C124" s="257"/>
      <c r="D124" s="257"/>
      <c r="E124" s="257"/>
      <c r="F124" s="257"/>
      <c r="G124" s="257"/>
      <c r="H124" s="257"/>
      <c r="I124" s="107"/>
    </row>
    <row r="125" spans="1:12" ht="20.100000000000001" customHeight="1">
      <c r="A125" s="465" t="s">
        <v>23</v>
      </c>
      <c r="B125" s="429" t="s">
        <v>330</v>
      </c>
      <c r="C125" s="257"/>
      <c r="D125" s="257"/>
      <c r="E125" s="257"/>
      <c r="F125" s="257"/>
      <c r="G125" s="257"/>
      <c r="H125" s="257"/>
      <c r="I125" s="107"/>
      <c r="L125" s="341">
        <v>91</v>
      </c>
    </row>
    <row r="126" spans="1:12" ht="20.100000000000001" customHeight="1">
      <c r="A126" s="465"/>
      <c r="B126" s="429" t="s">
        <v>329</v>
      </c>
      <c r="C126" s="257"/>
      <c r="D126" s="257"/>
      <c r="E126" s="257"/>
      <c r="F126" s="257"/>
      <c r="G126" s="257"/>
      <c r="H126" s="257"/>
      <c r="I126" s="107"/>
    </row>
    <row r="127" spans="1:12" ht="20.100000000000001" customHeight="1">
      <c r="A127" s="465"/>
      <c r="B127" s="429" t="s">
        <v>326</v>
      </c>
      <c r="C127" s="257"/>
      <c r="D127" s="257"/>
      <c r="E127" s="257"/>
      <c r="F127" s="257"/>
      <c r="G127" s="257"/>
      <c r="H127" s="257"/>
      <c r="I127" s="107"/>
    </row>
    <row r="128" spans="1:12" ht="20.100000000000001" customHeight="1">
      <c r="A128" s="465"/>
      <c r="B128" s="429" t="s">
        <v>328</v>
      </c>
      <c r="C128" s="257"/>
      <c r="D128" s="257"/>
      <c r="E128" s="257"/>
      <c r="F128" s="257"/>
      <c r="G128" s="257"/>
      <c r="H128" s="257"/>
      <c r="I128" s="107"/>
    </row>
    <row r="129" spans="1:12" ht="20.100000000000001" customHeight="1">
      <c r="A129" s="465"/>
      <c r="B129" s="429" t="s">
        <v>327</v>
      </c>
      <c r="C129" s="257"/>
      <c r="D129" s="257"/>
      <c r="E129" s="257"/>
      <c r="F129" s="257"/>
      <c r="G129" s="257"/>
      <c r="H129" s="257"/>
      <c r="I129" s="107"/>
    </row>
    <row r="130" spans="1:12" ht="20.100000000000001" customHeight="1">
      <c r="A130" s="465"/>
      <c r="B130" s="429" t="s">
        <v>325</v>
      </c>
      <c r="C130" s="257"/>
      <c r="D130" s="257"/>
      <c r="E130" s="257"/>
      <c r="F130" s="257"/>
      <c r="G130" s="257"/>
      <c r="H130" s="257"/>
      <c r="I130" s="107"/>
    </row>
    <row r="131" spans="1:12" ht="20.100000000000001" customHeight="1">
      <c r="A131" s="465" t="s">
        <v>23</v>
      </c>
      <c r="B131" s="440" t="s">
        <v>331</v>
      </c>
      <c r="C131" s="257"/>
      <c r="D131" s="257"/>
      <c r="E131" s="257"/>
      <c r="F131" s="257"/>
      <c r="G131" s="257"/>
      <c r="H131" s="257"/>
      <c r="I131" s="107"/>
      <c r="L131" s="341">
        <v>92</v>
      </c>
    </row>
    <row r="132" spans="1:12" ht="20.100000000000001" customHeight="1">
      <c r="A132" s="465" t="s">
        <v>23</v>
      </c>
      <c r="B132" s="429" t="s">
        <v>249</v>
      </c>
      <c r="C132" s="257"/>
      <c r="D132" s="257"/>
      <c r="E132" s="257"/>
      <c r="F132" s="257"/>
      <c r="G132" s="257"/>
      <c r="H132" s="257"/>
      <c r="I132" s="107"/>
      <c r="L132" s="341">
        <v>93</v>
      </c>
    </row>
    <row r="133" spans="1:12" ht="20.100000000000001" customHeight="1" thickBot="1">
      <c r="A133" s="465" t="s">
        <v>23</v>
      </c>
      <c r="B133" s="441" t="s">
        <v>20</v>
      </c>
      <c r="C133" s="257"/>
      <c r="D133" s="257"/>
      <c r="E133" s="257"/>
      <c r="F133" s="257"/>
      <c r="G133" s="257"/>
      <c r="H133" s="257"/>
      <c r="I133" s="107"/>
      <c r="L133" s="341">
        <v>95</v>
      </c>
    </row>
    <row r="134" spans="1:12" ht="20.100000000000001" customHeight="1" thickBot="1">
      <c r="B134" s="430" t="s">
        <v>86</v>
      </c>
      <c r="C134" s="265">
        <f t="shared" ref="C134:H134" si="43">SUM(C124:C133)</f>
        <v>0</v>
      </c>
      <c r="D134" s="265">
        <f t="shared" si="43"/>
        <v>0</v>
      </c>
      <c r="E134" s="265">
        <f t="shared" si="43"/>
        <v>0</v>
      </c>
      <c r="F134" s="265">
        <f t="shared" si="43"/>
        <v>0</v>
      </c>
      <c r="G134" s="265">
        <f t="shared" si="43"/>
        <v>0</v>
      </c>
      <c r="H134" s="265">
        <f t="shared" si="43"/>
        <v>0</v>
      </c>
      <c r="I134" s="107"/>
      <c r="L134" s="341">
        <v>96</v>
      </c>
    </row>
    <row r="135" spans="1:12" ht="20.100000000000001" customHeight="1">
      <c r="B135" s="431" t="s">
        <v>85</v>
      </c>
      <c r="C135" s="266"/>
      <c r="D135" s="266"/>
      <c r="E135" s="266"/>
      <c r="F135" s="266"/>
      <c r="G135" s="266"/>
      <c r="H135" s="266"/>
      <c r="I135" s="107"/>
      <c r="L135" s="341">
        <v>97</v>
      </c>
    </row>
    <row r="136" spans="1:12" ht="20.100000000000001" customHeight="1">
      <c r="A136" s="465" t="s">
        <v>23</v>
      </c>
      <c r="B136" s="442" t="s">
        <v>84</v>
      </c>
      <c r="C136" s="257"/>
      <c r="D136" s="257"/>
      <c r="E136" s="257"/>
      <c r="F136" s="257"/>
      <c r="G136" s="257"/>
      <c r="H136" s="257"/>
      <c r="I136" s="107"/>
      <c r="L136" s="341">
        <v>98</v>
      </c>
    </row>
    <row r="137" spans="1:12" ht="20.100000000000001" customHeight="1">
      <c r="A137" s="465" t="s">
        <v>23</v>
      </c>
      <c r="B137" s="429" t="s">
        <v>83</v>
      </c>
      <c r="C137" s="257"/>
      <c r="D137" s="257"/>
      <c r="E137" s="257"/>
      <c r="F137" s="257"/>
      <c r="G137" s="257"/>
      <c r="H137" s="257"/>
      <c r="I137" s="107"/>
      <c r="L137" s="341">
        <v>99</v>
      </c>
    </row>
    <row r="138" spans="1:12" ht="20.100000000000001" customHeight="1">
      <c r="A138" s="465"/>
      <c r="B138" s="429" t="s">
        <v>332</v>
      </c>
      <c r="C138" s="257"/>
      <c r="D138" s="257"/>
      <c r="E138" s="257"/>
      <c r="F138" s="257"/>
      <c r="G138" s="257"/>
      <c r="H138" s="257"/>
      <c r="I138" s="107"/>
    </row>
    <row r="139" spans="1:12" ht="20.100000000000001" customHeight="1">
      <c r="A139" s="465"/>
      <c r="B139" s="429" t="s">
        <v>333</v>
      </c>
      <c r="C139" s="257"/>
      <c r="D139" s="257"/>
      <c r="E139" s="257"/>
      <c r="F139" s="257"/>
      <c r="G139" s="257"/>
      <c r="H139" s="257"/>
      <c r="I139" s="107"/>
    </row>
    <row r="140" spans="1:12" ht="20.100000000000001" customHeight="1">
      <c r="A140" s="465" t="s">
        <v>23</v>
      </c>
      <c r="B140" s="429" t="s">
        <v>82</v>
      </c>
      <c r="C140" s="257"/>
      <c r="D140" s="257"/>
      <c r="E140" s="257"/>
      <c r="F140" s="257"/>
      <c r="G140" s="257"/>
      <c r="H140" s="257"/>
      <c r="I140" s="107"/>
      <c r="L140" s="341">
        <v>100</v>
      </c>
    </row>
    <row r="141" spans="1:12" ht="20.100000000000001" customHeight="1">
      <c r="A141" s="465" t="s">
        <v>23</v>
      </c>
      <c r="B141" s="429" t="s">
        <v>81</v>
      </c>
      <c r="C141" s="257"/>
      <c r="D141" s="257"/>
      <c r="E141" s="257"/>
      <c r="F141" s="257"/>
      <c r="G141" s="257"/>
      <c r="H141" s="257"/>
      <c r="I141" s="107"/>
      <c r="L141" s="341">
        <v>101</v>
      </c>
    </row>
    <row r="142" spans="1:12" ht="20.100000000000001" customHeight="1" thickBot="1">
      <c r="A142" s="465" t="s">
        <v>23</v>
      </c>
      <c r="B142" s="429" t="s">
        <v>80</v>
      </c>
      <c r="C142" s="257"/>
      <c r="D142" s="257"/>
      <c r="E142" s="257"/>
      <c r="F142" s="257"/>
      <c r="G142" s="257"/>
      <c r="H142" s="257"/>
      <c r="I142" s="107"/>
      <c r="L142" s="341">
        <v>102</v>
      </c>
    </row>
    <row r="143" spans="1:12" ht="20.100000000000001" customHeight="1" thickBot="1">
      <c r="B143" s="430" t="s">
        <v>79</v>
      </c>
      <c r="C143" s="265">
        <f t="shared" ref="C143" si="44">SUM(C136:C142)</f>
        <v>0</v>
      </c>
      <c r="D143" s="265">
        <f t="shared" ref="D143" si="45">SUM(D136:D142)</f>
        <v>0</v>
      </c>
      <c r="E143" s="265">
        <f t="shared" ref="E143" si="46">SUM(E136:E142)</f>
        <v>0</v>
      </c>
      <c r="F143" s="265">
        <f t="shared" ref="F143" si="47">SUM(F136:F142)</f>
        <v>0</v>
      </c>
      <c r="G143" s="265">
        <f t="shared" ref="G143" si="48">SUM(G136:G142)</f>
        <v>0</v>
      </c>
      <c r="H143" s="265">
        <f t="shared" ref="H143" si="49">SUM(H136:H142)</f>
        <v>0</v>
      </c>
      <c r="I143" s="107"/>
      <c r="L143" s="341">
        <v>103</v>
      </c>
    </row>
    <row r="144" spans="1:12" ht="20.100000000000001" customHeight="1">
      <c r="B144" s="431" t="s">
        <v>78</v>
      </c>
      <c r="C144" s="266"/>
      <c r="D144" s="266"/>
      <c r="E144" s="266"/>
      <c r="F144" s="266"/>
      <c r="G144" s="266"/>
      <c r="H144" s="266"/>
      <c r="I144" s="107"/>
      <c r="L144" s="341">
        <v>104</v>
      </c>
    </row>
    <row r="145" spans="1:12" ht="20.100000000000001" customHeight="1">
      <c r="A145" s="465" t="s">
        <v>23</v>
      </c>
      <c r="B145" s="429" t="s">
        <v>250</v>
      </c>
      <c r="C145" s="257"/>
      <c r="D145" s="257"/>
      <c r="E145" s="257"/>
      <c r="F145" s="257"/>
      <c r="G145" s="257"/>
      <c r="H145" s="257"/>
      <c r="I145" s="107"/>
      <c r="L145" s="341">
        <v>105</v>
      </c>
    </row>
    <row r="146" spans="1:12" ht="20.100000000000001" customHeight="1">
      <c r="A146" s="465"/>
      <c r="B146" s="429" t="s">
        <v>334</v>
      </c>
      <c r="C146" s="257"/>
      <c r="D146" s="257"/>
      <c r="E146" s="257"/>
      <c r="F146" s="257"/>
      <c r="G146" s="257"/>
      <c r="H146" s="257"/>
      <c r="I146" s="107"/>
    </row>
    <row r="147" spans="1:12" ht="20.100000000000001" customHeight="1">
      <c r="A147" s="465"/>
      <c r="B147" s="429" t="s">
        <v>335</v>
      </c>
      <c r="C147" s="257"/>
      <c r="D147" s="257"/>
      <c r="E147" s="257"/>
      <c r="F147" s="257"/>
      <c r="G147" s="257"/>
      <c r="H147" s="257"/>
      <c r="I147" s="107"/>
    </row>
    <row r="148" spans="1:12" ht="20.100000000000001" customHeight="1">
      <c r="A148" s="465"/>
      <c r="B148" s="429" t="s">
        <v>336</v>
      </c>
      <c r="C148" s="257"/>
      <c r="D148" s="257"/>
      <c r="E148" s="257"/>
      <c r="F148" s="257"/>
      <c r="G148" s="257"/>
      <c r="H148" s="257"/>
      <c r="I148" s="107"/>
    </row>
    <row r="149" spans="1:12" ht="20.100000000000001" customHeight="1">
      <c r="A149" s="465"/>
      <c r="B149" s="429" t="s">
        <v>339</v>
      </c>
      <c r="C149" s="257"/>
      <c r="D149" s="257"/>
      <c r="E149" s="257"/>
      <c r="F149" s="257"/>
      <c r="G149" s="257"/>
      <c r="H149" s="257"/>
      <c r="I149" s="107"/>
    </row>
    <row r="150" spans="1:12" ht="20.100000000000001" customHeight="1">
      <c r="A150" s="465"/>
      <c r="B150" s="429" t="s">
        <v>337</v>
      </c>
      <c r="C150" s="257"/>
      <c r="D150" s="257"/>
      <c r="E150" s="257"/>
      <c r="F150" s="257"/>
      <c r="G150" s="257"/>
      <c r="H150" s="257"/>
      <c r="I150" s="107"/>
    </row>
    <row r="151" spans="1:12" ht="20.100000000000001" customHeight="1">
      <c r="A151" s="465" t="s">
        <v>23</v>
      </c>
      <c r="B151" s="429" t="s">
        <v>251</v>
      </c>
      <c r="C151" s="257"/>
      <c r="D151" s="257"/>
      <c r="E151" s="257"/>
      <c r="F151" s="257"/>
      <c r="G151" s="257"/>
      <c r="H151" s="257"/>
      <c r="I151" s="107"/>
      <c r="L151" s="341">
        <v>106</v>
      </c>
    </row>
    <row r="152" spans="1:12" ht="20.100000000000001" customHeight="1">
      <c r="A152" s="465" t="s">
        <v>23</v>
      </c>
      <c r="B152" s="429" t="s">
        <v>77</v>
      </c>
      <c r="C152" s="257"/>
      <c r="D152" s="257"/>
      <c r="E152" s="257"/>
      <c r="F152" s="257"/>
      <c r="G152" s="257"/>
      <c r="H152" s="257"/>
      <c r="I152" s="107"/>
      <c r="L152" s="341">
        <v>107</v>
      </c>
    </row>
    <row r="153" spans="1:12" ht="20.100000000000001" customHeight="1">
      <c r="A153" s="465"/>
      <c r="B153" s="429" t="s">
        <v>80</v>
      </c>
      <c r="C153" s="257"/>
      <c r="D153" s="257"/>
      <c r="E153" s="257"/>
      <c r="F153" s="257"/>
      <c r="G153" s="257"/>
      <c r="H153" s="257"/>
      <c r="I153" s="107"/>
    </row>
    <row r="154" spans="1:12" ht="20.100000000000001" customHeight="1">
      <c r="A154" s="465" t="s">
        <v>23</v>
      </c>
      <c r="B154" s="429" t="s">
        <v>137</v>
      </c>
      <c r="C154" s="257"/>
      <c r="D154" s="257"/>
      <c r="E154" s="257"/>
      <c r="F154" s="257"/>
      <c r="G154" s="257"/>
      <c r="H154" s="257"/>
      <c r="I154" s="107"/>
      <c r="L154" s="341">
        <v>108</v>
      </c>
    </row>
    <row r="155" spans="1:12" ht="20.100000000000001" customHeight="1" thickBot="1">
      <c r="A155" s="465" t="s">
        <v>23</v>
      </c>
      <c r="B155" s="429" t="s">
        <v>338</v>
      </c>
      <c r="C155" s="257"/>
      <c r="D155" s="257"/>
      <c r="E155" s="257"/>
      <c r="F155" s="257"/>
      <c r="G155" s="257"/>
      <c r="H155" s="257"/>
      <c r="I155" s="107"/>
      <c r="L155" s="341">
        <v>109</v>
      </c>
    </row>
    <row r="156" spans="1:12" ht="20.100000000000001" customHeight="1" thickBot="1">
      <c r="B156" s="430" t="s">
        <v>76</v>
      </c>
      <c r="C156" s="265">
        <f>SUM(C145:C155)</f>
        <v>0</v>
      </c>
      <c r="D156" s="265">
        <f t="shared" ref="D156:H156" si="50">SUM(D145:D155)</f>
        <v>0</v>
      </c>
      <c r="E156" s="265">
        <f t="shared" si="50"/>
        <v>0</v>
      </c>
      <c r="F156" s="265">
        <f t="shared" si="50"/>
        <v>0</v>
      </c>
      <c r="G156" s="265">
        <f t="shared" si="50"/>
        <v>0</v>
      </c>
      <c r="H156" s="265">
        <f t="shared" si="50"/>
        <v>0</v>
      </c>
      <c r="I156" s="107"/>
      <c r="L156" s="341">
        <v>110</v>
      </c>
    </row>
    <row r="157" spans="1:12" ht="20.100000000000001" customHeight="1">
      <c r="B157" s="431" t="s">
        <v>75</v>
      </c>
      <c r="C157" s="266"/>
      <c r="D157" s="266"/>
      <c r="E157" s="266"/>
      <c r="F157" s="266"/>
      <c r="G157" s="266"/>
      <c r="H157" s="266"/>
      <c r="I157" s="107"/>
      <c r="L157" s="341">
        <v>111</v>
      </c>
    </row>
    <row r="158" spans="1:12" ht="20.100000000000001" customHeight="1">
      <c r="A158" s="465" t="s">
        <v>23</v>
      </c>
      <c r="B158" s="443" t="s">
        <v>74</v>
      </c>
      <c r="C158" s="257"/>
      <c r="D158" s="257"/>
      <c r="E158" s="257"/>
      <c r="F158" s="257"/>
      <c r="G158" s="257"/>
      <c r="H158" s="257"/>
      <c r="I158" s="107"/>
      <c r="L158" s="341">
        <v>112</v>
      </c>
    </row>
    <row r="159" spans="1:12" ht="20.100000000000001" customHeight="1">
      <c r="A159" s="465"/>
      <c r="B159" s="443" t="s">
        <v>340</v>
      </c>
      <c r="C159" s="257"/>
      <c r="D159" s="257"/>
      <c r="E159" s="257"/>
      <c r="F159" s="257"/>
      <c r="G159" s="257"/>
      <c r="H159" s="257"/>
      <c r="I159" s="107"/>
    </row>
    <row r="160" spans="1:12" ht="20.100000000000001" customHeight="1">
      <c r="A160" s="465" t="s">
        <v>23</v>
      </c>
      <c r="B160" s="444" t="s">
        <v>73</v>
      </c>
      <c r="C160" s="257"/>
      <c r="D160" s="257"/>
      <c r="E160" s="257"/>
      <c r="F160" s="257"/>
      <c r="G160" s="257"/>
      <c r="H160" s="257"/>
      <c r="I160" s="107"/>
      <c r="L160" s="341">
        <v>113</v>
      </c>
    </row>
    <row r="161" spans="1:12" ht="20.100000000000001" customHeight="1" thickBot="1">
      <c r="A161" s="465" t="s">
        <v>23</v>
      </c>
      <c r="B161" s="445" t="s">
        <v>255</v>
      </c>
      <c r="C161" s="257"/>
      <c r="D161" s="257"/>
      <c r="E161" s="257"/>
      <c r="F161" s="257"/>
      <c r="G161" s="257"/>
      <c r="H161" s="257"/>
      <c r="I161" s="107"/>
      <c r="L161" s="341">
        <v>114</v>
      </c>
    </row>
    <row r="162" spans="1:12" ht="20.100000000000001" customHeight="1" thickBot="1">
      <c r="B162" s="430" t="s">
        <v>72</v>
      </c>
      <c r="C162" s="265">
        <f t="shared" ref="C162" si="51">SUM(C158:C161)</f>
        <v>0</v>
      </c>
      <c r="D162" s="265">
        <f t="shared" ref="D162" si="52">SUM(D158:D161)</f>
        <v>0</v>
      </c>
      <c r="E162" s="265">
        <f t="shared" ref="E162" si="53">SUM(E158:E161)</f>
        <v>0</v>
      </c>
      <c r="F162" s="265">
        <f t="shared" ref="F162" si="54">SUM(F158:F161)</f>
        <v>0</v>
      </c>
      <c r="G162" s="265">
        <f t="shared" ref="G162" si="55">SUM(G158:G161)</f>
        <v>0</v>
      </c>
      <c r="H162" s="265">
        <f t="shared" ref="H162" si="56">SUM(H158:H161)</f>
        <v>0</v>
      </c>
      <c r="I162" s="107"/>
      <c r="L162" s="341">
        <v>115</v>
      </c>
    </row>
    <row r="163" spans="1:12" ht="20.100000000000001" customHeight="1">
      <c r="B163" s="431" t="s">
        <v>71</v>
      </c>
      <c r="C163" s="266"/>
      <c r="D163" s="266"/>
      <c r="E163" s="266"/>
      <c r="F163" s="266"/>
      <c r="G163" s="266"/>
      <c r="H163" s="266"/>
      <c r="I163" s="107"/>
      <c r="L163" s="341">
        <v>116</v>
      </c>
    </row>
    <row r="164" spans="1:12" ht="20.100000000000001" customHeight="1">
      <c r="A164" s="465" t="s">
        <v>23</v>
      </c>
      <c r="B164" s="443" t="s">
        <v>341</v>
      </c>
      <c r="C164" s="257"/>
      <c r="D164" s="257"/>
      <c r="E164" s="257"/>
      <c r="F164" s="257"/>
      <c r="G164" s="257"/>
      <c r="H164" s="257"/>
      <c r="I164" s="107"/>
      <c r="L164" s="341">
        <v>117</v>
      </c>
    </row>
    <row r="165" spans="1:12" ht="20.100000000000001" customHeight="1">
      <c r="A165" s="465"/>
      <c r="B165" s="443" t="s">
        <v>342</v>
      </c>
      <c r="C165" s="257"/>
      <c r="D165" s="257"/>
      <c r="E165" s="257"/>
      <c r="F165" s="257"/>
      <c r="G165" s="257"/>
      <c r="H165" s="257"/>
      <c r="I165" s="107"/>
    </row>
    <row r="166" spans="1:12" ht="20.100000000000001" customHeight="1">
      <c r="A166" s="465" t="s">
        <v>23</v>
      </c>
      <c r="B166" s="444" t="s">
        <v>254</v>
      </c>
      <c r="C166" s="257"/>
      <c r="D166" s="257"/>
      <c r="E166" s="257"/>
      <c r="F166" s="257"/>
      <c r="G166" s="257"/>
      <c r="H166" s="257"/>
      <c r="I166" s="107"/>
      <c r="L166" s="341">
        <v>118</v>
      </c>
    </row>
    <row r="167" spans="1:12" ht="20.100000000000001" customHeight="1">
      <c r="A167" s="465" t="s">
        <v>23</v>
      </c>
      <c r="B167" s="429" t="s">
        <v>265</v>
      </c>
      <c r="C167" s="257"/>
      <c r="D167" s="257"/>
      <c r="E167" s="257"/>
      <c r="F167" s="257"/>
      <c r="G167" s="257"/>
      <c r="H167" s="257"/>
      <c r="I167" s="107"/>
      <c r="L167" s="341">
        <v>119</v>
      </c>
    </row>
    <row r="168" spans="1:12" ht="20.100000000000001" customHeight="1" thickBot="1">
      <c r="A168" s="465" t="s">
        <v>23</v>
      </c>
      <c r="B168" s="445" t="s">
        <v>247</v>
      </c>
      <c r="C168" s="257"/>
      <c r="D168" s="257"/>
      <c r="E168" s="257"/>
      <c r="F168" s="257"/>
      <c r="G168" s="257"/>
      <c r="H168" s="257"/>
      <c r="I168" s="107"/>
      <c r="L168" s="341">
        <v>120</v>
      </c>
    </row>
    <row r="169" spans="1:12" ht="20.100000000000001" customHeight="1" thickBot="1">
      <c r="B169" s="430" t="s">
        <v>70</v>
      </c>
      <c r="C169" s="265">
        <f>SUM(C164:C168)</f>
        <v>0</v>
      </c>
      <c r="D169" s="265">
        <f t="shared" ref="D169:H169" si="57">SUM(D164:D168)</f>
        <v>0</v>
      </c>
      <c r="E169" s="265">
        <f t="shared" si="57"/>
        <v>0</v>
      </c>
      <c r="F169" s="265">
        <f t="shared" si="57"/>
        <v>0</v>
      </c>
      <c r="G169" s="265">
        <f t="shared" si="57"/>
        <v>0</v>
      </c>
      <c r="H169" s="265">
        <f t="shared" si="57"/>
        <v>0</v>
      </c>
      <c r="I169" s="107"/>
      <c r="L169" s="341">
        <v>121</v>
      </c>
    </row>
    <row r="170" spans="1:12" ht="20.100000000000001" customHeight="1">
      <c r="B170" s="431" t="s">
        <v>69</v>
      </c>
      <c r="C170" s="266"/>
      <c r="D170" s="266"/>
      <c r="E170" s="266"/>
      <c r="F170" s="266"/>
      <c r="G170" s="266"/>
      <c r="H170" s="266"/>
      <c r="I170" s="107"/>
      <c r="L170" s="341">
        <v>122</v>
      </c>
    </row>
    <row r="171" spans="1:12" ht="20.100000000000001" customHeight="1">
      <c r="A171" s="465" t="s">
        <v>23</v>
      </c>
      <c r="B171" s="429" t="s">
        <v>300</v>
      </c>
      <c r="C171" s="257"/>
      <c r="D171" s="257"/>
      <c r="E171" s="257"/>
      <c r="F171" s="257"/>
      <c r="G171" s="257"/>
      <c r="H171" s="257"/>
      <c r="I171" s="107"/>
      <c r="L171" s="341">
        <v>123</v>
      </c>
    </row>
    <row r="172" spans="1:12" ht="20.100000000000001" customHeight="1" thickBot="1">
      <c r="A172" s="465" t="s">
        <v>23</v>
      </c>
      <c r="B172" s="429" t="s">
        <v>253</v>
      </c>
      <c r="C172" s="257"/>
      <c r="D172" s="257"/>
      <c r="E172" s="257"/>
      <c r="F172" s="257"/>
      <c r="G172" s="257"/>
      <c r="H172" s="257"/>
      <c r="I172" s="107"/>
      <c r="L172" s="341">
        <v>124</v>
      </c>
    </row>
    <row r="173" spans="1:12" ht="20.100000000000001" customHeight="1" thickBot="1">
      <c r="B173" s="430" t="s">
        <v>68</v>
      </c>
      <c r="C173" s="265">
        <f>SUM(C171:C172)</f>
        <v>0</v>
      </c>
      <c r="D173" s="265">
        <f t="shared" ref="D173:H173" si="58">SUM(D171:D172)</f>
        <v>0</v>
      </c>
      <c r="E173" s="265">
        <f t="shared" si="58"/>
        <v>0</v>
      </c>
      <c r="F173" s="265">
        <f t="shared" si="58"/>
        <v>0</v>
      </c>
      <c r="G173" s="265">
        <f t="shared" si="58"/>
        <v>0</v>
      </c>
      <c r="H173" s="265">
        <f t="shared" si="58"/>
        <v>0</v>
      </c>
      <c r="I173" s="107"/>
      <c r="L173" s="341">
        <v>125</v>
      </c>
    </row>
    <row r="174" spans="1:12" ht="20.100000000000001" customHeight="1">
      <c r="B174" s="431" t="s">
        <v>67</v>
      </c>
      <c r="C174" s="266"/>
      <c r="D174" s="266"/>
      <c r="E174" s="266"/>
      <c r="F174" s="266"/>
      <c r="G174" s="266"/>
      <c r="H174" s="266"/>
      <c r="I174" s="107"/>
      <c r="L174" s="341">
        <v>126</v>
      </c>
    </row>
    <row r="175" spans="1:12" ht="20.100000000000001" customHeight="1">
      <c r="A175" s="465" t="s">
        <v>23</v>
      </c>
      <c r="B175" s="432" t="s">
        <v>66</v>
      </c>
      <c r="C175" s="257"/>
      <c r="D175" s="257"/>
      <c r="E175" s="257"/>
      <c r="F175" s="257"/>
      <c r="G175" s="257"/>
      <c r="H175" s="257"/>
      <c r="I175" s="107"/>
      <c r="L175" s="341">
        <v>127</v>
      </c>
    </row>
    <row r="176" spans="1:12" ht="20.100000000000001" customHeight="1" thickBot="1">
      <c r="A176" s="465" t="s">
        <v>23</v>
      </c>
      <c r="B176" s="429" t="s">
        <v>65</v>
      </c>
      <c r="C176" s="257"/>
      <c r="D176" s="257"/>
      <c r="E176" s="257"/>
      <c r="F176" s="257"/>
      <c r="G176" s="257"/>
      <c r="H176" s="257"/>
      <c r="I176" s="107"/>
      <c r="L176" s="341">
        <v>128</v>
      </c>
    </row>
    <row r="177" spans="1:12" ht="20.100000000000001" customHeight="1" thickBot="1">
      <c r="B177" s="430" t="s">
        <v>64</v>
      </c>
      <c r="C177" s="265">
        <f t="shared" ref="C177" si="59">SUM(C175:C176)</f>
        <v>0</v>
      </c>
      <c r="D177" s="265">
        <f t="shared" ref="D177" si="60">SUM(D175:D176)</f>
        <v>0</v>
      </c>
      <c r="E177" s="265">
        <f t="shared" ref="E177" si="61">SUM(E175:E176)</f>
        <v>0</v>
      </c>
      <c r="F177" s="265">
        <f t="shared" ref="F177" si="62">SUM(F175:F176)</f>
        <v>0</v>
      </c>
      <c r="G177" s="265">
        <f t="shared" ref="G177" si="63">SUM(G175:G176)</f>
        <v>0</v>
      </c>
      <c r="H177" s="265">
        <f t="shared" ref="H177" si="64">SUM(H175:H176)</f>
        <v>0</v>
      </c>
      <c r="I177" s="107"/>
      <c r="L177" s="341">
        <v>129</v>
      </c>
    </row>
    <row r="178" spans="1:12" ht="20.100000000000001" customHeight="1">
      <c r="B178" s="431" t="s">
        <v>63</v>
      </c>
      <c r="C178" s="266"/>
      <c r="D178" s="266"/>
      <c r="E178" s="266"/>
      <c r="F178" s="266"/>
      <c r="G178" s="266"/>
      <c r="H178" s="266"/>
      <c r="I178" s="107"/>
      <c r="L178" s="341">
        <v>130</v>
      </c>
    </row>
    <row r="179" spans="1:12" ht="20.100000000000001" customHeight="1">
      <c r="A179" s="465" t="s">
        <v>23</v>
      </c>
      <c r="B179" s="429" t="s">
        <v>266</v>
      </c>
      <c r="C179" s="257"/>
      <c r="D179" s="257"/>
      <c r="E179" s="257"/>
      <c r="F179" s="257"/>
      <c r="G179" s="257"/>
      <c r="H179" s="257"/>
      <c r="I179" s="107"/>
      <c r="L179" s="341">
        <v>131</v>
      </c>
    </row>
    <row r="180" spans="1:12" ht="20.100000000000001" customHeight="1" thickBot="1">
      <c r="A180" s="465" t="s">
        <v>23</v>
      </c>
      <c r="B180" s="429" t="s">
        <v>62</v>
      </c>
      <c r="C180" s="257"/>
      <c r="D180" s="257"/>
      <c r="E180" s="257"/>
      <c r="F180" s="257"/>
      <c r="G180" s="257"/>
      <c r="H180" s="257"/>
      <c r="I180" s="107"/>
      <c r="L180" s="341">
        <v>132</v>
      </c>
    </row>
    <row r="181" spans="1:12" ht="20.100000000000001" customHeight="1" thickBot="1">
      <c r="B181" s="430" t="s">
        <v>61</v>
      </c>
      <c r="C181" s="265">
        <f t="shared" ref="C181" si="65">SUM(C179:C180)</f>
        <v>0</v>
      </c>
      <c r="D181" s="265">
        <f t="shared" ref="D181" si="66">SUM(D179:D180)</f>
        <v>0</v>
      </c>
      <c r="E181" s="265">
        <f t="shared" ref="E181" si="67">SUM(E179:E180)</f>
        <v>0</v>
      </c>
      <c r="F181" s="265">
        <f t="shared" ref="F181" si="68">SUM(F179:F180)</f>
        <v>0</v>
      </c>
      <c r="G181" s="265">
        <f t="shared" ref="G181" si="69">SUM(G179:G180)</f>
        <v>0</v>
      </c>
      <c r="H181" s="265">
        <f t="shared" ref="H181" si="70">SUM(H179:H180)</f>
        <v>0</v>
      </c>
      <c r="I181" s="107"/>
      <c r="L181" s="341">
        <v>133</v>
      </c>
    </row>
    <row r="182" spans="1:12" ht="20.100000000000001" customHeight="1">
      <c r="B182" s="431" t="s">
        <v>60</v>
      </c>
      <c r="C182" s="266"/>
      <c r="D182" s="266"/>
      <c r="E182" s="266"/>
      <c r="F182" s="266"/>
      <c r="G182" s="266"/>
      <c r="H182" s="266"/>
      <c r="I182" s="107"/>
      <c r="L182" s="341">
        <v>134</v>
      </c>
    </row>
    <row r="183" spans="1:12" ht="20.100000000000001" customHeight="1">
      <c r="A183" s="465" t="s">
        <v>23</v>
      </c>
      <c r="B183" s="442" t="s">
        <v>21</v>
      </c>
      <c r="C183" s="257"/>
      <c r="D183" s="257"/>
      <c r="E183" s="257"/>
      <c r="F183" s="257"/>
      <c r="G183" s="257"/>
      <c r="H183" s="257"/>
      <c r="I183" s="107"/>
      <c r="L183" s="341">
        <v>135</v>
      </c>
    </row>
    <row r="184" spans="1:12" ht="20.100000000000001" customHeight="1">
      <c r="A184" s="465" t="s">
        <v>23</v>
      </c>
      <c r="B184" s="446" t="s">
        <v>301</v>
      </c>
      <c r="C184" s="257"/>
      <c r="D184" s="257"/>
      <c r="E184" s="257"/>
      <c r="F184" s="257"/>
      <c r="G184" s="257"/>
      <c r="H184" s="257"/>
      <c r="I184" s="107"/>
      <c r="L184" s="341">
        <v>136</v>
      </c>
    </row>
    <row r="185" spans="1:12" ht="20.100000000000001" customHeight="1" thickBot="1">
      <c r="A185" s="465" t="s">
        <v>23</v>
      </c>
      <c r="B185" s="429" t="s">
        <v>259</v>
      </c>
      <c r="C185" s="257"/>
      <c r="D185" s="257"/>
      <c r="E185" s="257"/>
      <c r="F185" s="257"/>
      <c r="G185" s="257"/>
      <c r="H185" s="257"/>
      <c r="I185" s="107"/>
      <c r="L185" s="341">
        <v>137</v>
      </c>
    </row>
    <row r="186" spans="1:12" ht="16.5" thickBot="1">
      <c r="B186" s="430" t="s">
        <v>59</v>
      </c>
      <c r="C186" s="265">
        <f>SUM(C183:C185)</f>
        <v>0</v>
      </c>
      <c r="D186" s="265">
        <f t="shared" ref="D186:H186" si="71">SUM(D183:D185)</f>
        <v>0</v>
      </c>
      <c r="E186" s="265">
        <f t="shared" si="71"/>
        <v>0</v>
      </c>
      <c r="F186" s="265">
        <f t="shared" si="71"/>
        <v>0</v>
      </c>
      <c r="G186" s="265">
        <f t="shared" si="71"/>
        <v>0</v>
      </c>
      <c r="H186" s="265">
        <f t="shared" si="71"/>
        <v>0</v>
      </c>
      <c r="I186" s="107"/>
      <c r="L186" s="341">
        <v>138</v>
      </c>
    </row>
    <row r="187" spans="1:12" ht="15.75">
      <c r="B187" s="431" t="s">
        <v>58</v>
      </c>
      <c r="C187" s="266"/>
      <c r="D187" s="266"/>
      <c r="E187" s="266"/>
      <c r="F187" s="266"/>
      <c r="G187" s="266"/>
      <c r="H187" s="266"/>
      <c r="I187" s="107"/>
      <c r="L187" s="341">
        <v>139</v>
      </c>
    </row>
    <row r="188" spans="1:12" ht="20.100000000000001" customHeight="1">
      <c r="A188" s="465" t="s">
        <v>23</v>
      </c>
      <c r="B188" s="434" t="s">
        <v>57</v>
      </c>
      <c r="C188" s="257"/>
      <c r="D188" s="257"/>
      <c r="E188" s="257"/>
      <c r="F188" s="257"/>
      <c r="G188" s="257"/>
      <c r="H188" s="257"/>
      <c r="I188" s="107"/>
      <c r="L188" s="341">
        <v>140</v>
      </c>
    </row>
    <row r="189" spans="1:12" ht="20.100000000000001" customHeight="1">
      <c r="A189" s="465" t="s">
        <v>23</v>
      </c>
      <c r="B189" s="447" t="s">
        <v>56</v>
      </c>
      <c r="C189" s="257"/>
      <c r="D189" s="257"/>
      <c r="E189" s="257"/>
      <c r="F189" s="257"/>
      <c r="G189" s="257"/>
      <c r="H189" s="257"/>
      <c r="I189" s="107"/>
      <c r="L189" s="341">
        <v>141</v>
      </c>
    </row>
    <row r="190" spans="1:12" ht="20.100000000000001" customHeight="1">
      <c r="A190" s="465" t="s">
        <v>23</v>
      </c>
      <c r="B190" s="429" t="s">
        <v>55</v>
      </c>
      <c r="C190" s="257"/>
      <c r="D190" s="257"/>
      <c r="E190" s="257"/>
      <c r="F190" s="257"/>
      <c r="G190" s="257"/>
      <c r="H190" s="257"/>
      <c r="I190" s="107"/>
      <c r="L190" s="341">
        <v>142</v>
      </c>
    </row>
    <row r="191" spans="1:12" ht="20.100000000000001" customHeight="1" thickBot="1">
      <c r="A191" s="465" t="s">
        <v>23</v>
      </c>
      <c r="B191" s="429" t="s">
        <v>48</v>
      </c>
      <c r="C191" s="257"/>
      <c r="D191" s="257"/>
      <c r="E191" s="257"/>
      <c r="F191" s="257"/>
      <c r="G191" s="257"/>
      <c r="H191" s="257"/>
      <c r="I191" s="107"/>
      <c r="L191" s="341">
        <v>143</v>
      </c>
    </row>
    <row r="192" spans="1:12" ht="16.5" thickBot="1">
      <c r="B192" s="430" t="s">
        <v>54</v>
      </c>
      <c r="C192" s="265">
        <f>SUM(C188:C191)</f>
        <v>0</v>
      </c>
      <c r="D192" s="265">
        <f t="shared" ref="D192:H192" si="72">SUM(D188:D191)</f>
        <v>0</v>
      </c>
      <c r="E192" s="265">
        <f t="shared" si="72"/>
        <v>0</v>
      </c>
      <c r="F192" s="265">
        <f t="shared" si="72"/>
        <v>0</v>
      </c>
      <c r="G192" s="265">
        <f t="shared" si="72"/>
        <v>0</v>
      </c>
      <c r="H192" s="265">
        <f t="shared" si="72"/>
        <v>0</v>
      </c>
      <c r="I192" s="107"/>
      <c r="L192" s="341">
        <v>144</v>
      </c>
    </row>
    <row r="193" spans="2:12" ht="23.1" customHeight="1" thickBot="1">
      <c r="B193" s="448" t="s">
        <v>22</v>
      </c>
      <c r="C193" s="418"/>
      <c r="D193" s="418">
        <f t="shared" ref="D193" si="73">D134+D143+D156+D162+D169+D173+D177+D181+D186+D192</f>
        <v>0</v>
      </c>
      <c r="E193" s="418">
        <f t="shared" ref="E193" si="74">E134+E143+E156+E162+E169+E173+E177+E181+E186+E192</f>
        <v>0</v>
      </c>
      <c r="F193" s="418">
        <f t="shared" ref="F193" si="75">F134+F143+F156+F162+F169+F173+F177+F181+F186+F192</f>
        <v>0</v>
      </c>
      <c r="G193" s="418">
        <f t="shared" ref="G193" si="76">G134+G143+G156+G162+G169+G173+G177+G181+G186+G192</f>
        <v>0</v>
      </c>
      <c r="H193" s="418">
        <f t="shared" ref="H193" si="77">H134+H143+H156+H162+H169+H173+H177+H181+H186+H192</f>
        <v>0</v>
      </c>
      <c r="I193" s="107"/>
      <c r="L193" s="341">
        <v>145</v>
      </c>
    </row>
    <row r="194" spans="2:12" ht="15">
      <c r="B194" s="274"/>
      <c r="C194" s="275"/>
      <c r="D194" s="275"/>
      <c r="E194" s="275"/>
      <c r="F194" s="275"/>
      <c r="G194" s="275"/>
      <c r="H194" s="275"/>
      <c r="L194" s="341">
        <v>146</v>
      </c>
    </row>
    <row r="195" spans="2:12" ht="15.95" customHeight="1" thickBot="1">
      <c r="B195" s="274"/>
      <c r="C195" s="275"/>
      <c r="D195" s="275"/>
      <c r="E195" s="275"/>
      <c r="F195" s="275"/>
      <c r="G195" s="275"/>
      <c r="H195" s="275"/>
      <c r="L195" s="341">
        <v>147</v>
      </c>
    </row>
    <row r="196" spans="2:12" ht="23.1" customHeight="1" thickBot="1">
      <c r="B196" s="419" t="s">
        <v>4</v>
      </c>
      <c r="C196" s="420" t="e">
        <f t="shared" ref="C196:H196" si="78">C$119-C$193</f>
        <v>#N/A</v>
      </c>
      <c r="D196" s="420" t="e">
        <f t="shared" si="78"/>
        <v>#N/A</v>
      </c>
      <c r="E196" s="420" t="e">
        <f t="shared" si="78"/>
        <v>#N/A</v>
      </c>
      <c r="F196" s="420" t="e">
        <f t="shared" si="78"/>
        <v>#N/A</v>
      </c>
      <c r="G196" s="420" t="e">
        <f t="shared" si="78"/>
        <v>#N/A</v>
      </c>
      <c r="H196" s="420" t="e">
        <f t="shared" si="78"/>
        <v>#N/A</v>
      </c>
      <c r="I196" s="107"/>
      <c r="L196" s="341">
        <v>148</v>
      </c>
    </row>
    <row r="197" spans="2:12">
      <c r="L197" s="341">
        <v>149</v>
      </c>
    </row>
    <row r="200" spans="2:12" ht="20.100000000000001" customHeight="1" thickBot="1">
      <c r="I200" s="51"/>
      <c r="L200" s="51"/>
    </row>
    <row r="201" spans="2:12" ht="26.1" customHeight="1" thickBot="1">
      <c r="B201" s="106" t="str">
        <f>B1</f>
        <v>XXXXXXXX</v>
      </c>
      <c r="I201" s="683" t="s">
        <v>46</v>
      </c>
      <c r="J201" s="684"/>
    </row>
    <row r="202" spans="2:12" ht="14.1" customHeight="1" thickBot="1">
      <c r="I202" s="685"/>
      <c r="J202" s="686"/>
    </row>
    <row r="203" spans="2:12" ht="21" customHeight="1" thickBot="1">
      <c r="C203" s="689" t="s">
        <v>260</v>
      </c>
      <c r="D203" s="690"/>
      <c r="E203" s="690"/>
      <c r="F203" s="690"/>
      <c r="G203" s="690"/>
      <c r="H203" s="691"/>
      <c r="I203" s="687"/>
      <c r="J203" s="688"/>
    </row>
    <row r="204" spans="2:12" ht="20.100000000000001" customHeight="1" thickBot="1">
      <c r="B204" s="398" t="s">
        <v>53</v>
      </c>
      <c r="C204" s="105" t="str">
        <f t="shared" ref="C204:H205" si="79">C3</f>
        <v>PREVI</v>
      </c>
      <c r="D204" s="105">
        <f t="shared" si="79"/>
        <v>0</v>
      </c>
      <c r="E204" s="105">
        <f t="shared" si="79"/>
        <v>0</v>
      </c>
      <c r="F204" s="105">
        <f t="shared" si="79"/>
        <v>0</v>
      </c>
      <c r="G204" s="105">
        <f t="shared" si="79"/>
        <v>0</v>
      </c>
      <c r="H204" s="105">
        <f t="shared" si="79"/>
        <v>0</v>
      </c>
      <c r="I204" s="35" t="s">
        <v>44</v>
      </c>
      <c r="J204" s="397" t="s">
        <v>45</v>
      </c>
    </row>
    <row r="205" spans="2:12" ht="20.100000000000001" customHeight="1" thickBot="1">
      <c r="B205" s="399"/>
      <c r="C205" s="104">
        <f t="shared" si="79"/>
        <v>0</v>
      </c>
      <c r="D205" s="104">
        <f t="shared" si="79"/>
        <v>0</v>
      </c>
      <c r="E205" s="104">
        <f t="shared" si="79"/>
        <v>0</v>
      </c>
      <c r="F205" s="104">
        <f t="shared" si="79"/>
        <v>0</v>
      </c>
      <c r="G205" s="104">
        <f t="shared" si="79"/>
        <v>0</v>
      </c>
      <c r="H205" s="104">
        <f t="shared" si="79"/>
        <v>0</v>
      </c>
      <c r="I205" s="36"/>
      <c r="J205" s="37"/>
    </row>
    <row r="206" spans="2:12" ht="20.100000000000001" customHeight="1" thickBot="1">
      <c r="B206" s="103" t="s">
        <v>3</v>
      </c>
      <c r="C206" s="102"/>
      <c r="D206" s="102"/>
      <c r="E206" s="102"/>
      <c r="F206" s="102"/>
      <c r="G206" s="102"/>
      <c r="H206" s="102"/>
      <c r="I206" s="38"/>
      <c r="J206" s="39"/>
    </row>
    <row r="207" spans="2:12" ht="20.100000000000001" customHeight="1">
      <c r="B207" s="276" t="s">
        <v>248</v>
      </c>
      <c r="C207" s="101"/>
      <c r="D207" s="101" t="e">
        <f t="shared" ref="D207:H207" si="80">D74+D75</f>
        <v>#N/A</v>
      </c>
      <c r="E207" s="101" t="e">
        <f t="shared" si="80"/>
        <v>#N/A</v>
      </c>
      <c r="F207" s="101" t="e">
        <f t="shared" si="80"/>
        <v>#N/A</v>
      </c>
      <c r="G207" s="101" t="e">
        <f t="shared" si="80"/>
        <v>#N/A</v>
      </c>
      <c r="H207" s="101" t="e">
        <f t="shared" si="80"/>
        <v>#N/A</v>
      </c>
      <c r="I207" s="38"/>
      <c r="J207" s="40"/>
    </row>
    <row r="208" spans="2:12" ht="20.100000000000001" customHeight="1">
      <c r="B208" s="99" t="s">
        <v>5</v>
      </c>
      <c r="C208" s="400" t="e">
        <f t="shared" ref="C208:H208" si="81">C207/C12</f>
        <v>#DIV/0!</v>
      </c>
      <c r="D208" s="400" t="e">
        <f t="shared" si="81"/>
        <v>#N/A</v>
      </c>
      <c r="E208" s="400" t="e">
        <f t="shared" si="81"/>
        <v>#N/A</v>
      </c>
      <c r="F208" s="400" t="e">
        <f t="shared" si="81"/>
        <v>#N/A</v>
      </c>
      <c r="G208" s="400" t="e">
        <f t="shared" si="81"/>
        <v>#N/A</v>
      </c>
      <c r="H208" s="400" t="e">
        <f t="shared" si="81"/>
        <v>#N/A</v>
      </c>
      <c r="I208" s="41">
        <v>9824</v>
      </c>
      <c r="J208" s="42">
        <v>12172</v>
      </c>
    </row>
    <row r="209" spans="2:10" ht="20.100000000000001" customHeight="1">
      <c r="B209" s="98" t="s">
        <v>138</v>
      </c>
      <c r="C209" s="100" t="e">
        <f t="shared" ref="C209:H209" si="82">C76+C77+C78</f>
        <v>#N/A</v>
      </c>
      <c r="D209" s="100" t="e">
        <f t="shared" si="82"/>
        <v>#N/A</v>
      </c>
      <c r="E209" s="100" t="e">
        <f t="shared" si="82"/>
        <v>#N/A</v>
      </c>
      <c r="F209" s="100" t="e">
        <f t="shared" si="82"/>
        <v>#N/A</v>
      </c>
      <c r="G209" s="100" t="e">
        <f t="shared" si="82"/>
        <v>#N/A</v>
      </c>
      <c r="H209" s="100" t="e">
        <f t="shared" si="82"/>
        <v>#N/A</v>
      </c>
      <c r="I209" s="41"/>
      <c r="J209" s="42"/>
    </row>
    <row r="210" spans="2:10" ht="20.100000000000001" customHeight="1">
      <c r="B210" s="99" t="s">
        <v>5</v>
      </c>
      <c r="C210" s="82" t="e">
        <f t="shared" ref="C210:H210" si="83">C209/C12</f>
        <v>#N/A</v>
      </c>
      <c r="D210" s="82" t="e">
        <f t="shared" si="83"/>
        <v>#N/A</v>
      </c>
      <c r="E210" s="82" t="e">
        <f t="shared" si="83"/>
        <v>#N/A</v>
      </c>
      <c r="F210" s="82" t="e">
        <f t="shared" si="83"/>
        <v>#N/A</v>
      </c>
      <c r="G210" s="82" t="e">
        <f t="shared" si="83"/>
        <v>#N/A</v>
      </c>
      <c r="H210" s="82" t="e">
        <f t="shared" si="83"/>
        <v>#N/A</v>
      </c>
      <c r="I210" s="41"/>
      <c r="J210" s="42"/>
    </row>
    <row r="211" spans="2:10" ht="20.100000000000001" customHeight="1">
      <c r="B211" s="98" t="s">
        <v>6</v>
      </c>
      <c r="C211" s="96">
        <f t="shared" ref="C211:H211" si="84">C90</f>
        <v>0</v>
      </c>
      <c r="D211" s="96">
        <f t="shared" si="84"/>
        <v>0</v>
      </c>
      <c r="E211" s="96">
        <f t="shared" si="84"/>
        <v>0</v>
      </c>
      <c r="F211" s="96">
        <f t="shared" si="84"/>
        <v>0</v>
      </c>
      <c r="G211" s="96">
        <f t="shared" si="84"/>
        <v>0</v>
      </c>
      <c r="H211" s="96">
        <f t="shared" si="84"/>
        <v>0</v>
      </c>
      <c r="I211" s="43"/>
      <c r="J211" s="42"/>
    </row>
    <row r="212" spans="2:10" ht="20.100000000000001" customHeight="1">
      <c r="B212" s="75" t="s">
        <v>7</v>
      </c>
      <c r="C212" s="95" t="e">
        <f t="shared" ref="C212:H212" si="85">C211/C12</f>
        <v>#DIV/0!</v>
      </c>
      <c r="D212" s="95" t="e">
        <f t="shared" si="85"/>
        <v>#DIV/0!</v>
      </c>
      <c r="E212" s="95" t="e">
        <f t="shared" si="85"/>
        <v>#DIV/0!</v>
      </c>
      <c r="F212" s="95" t="e">
        <f t="shared" si="85"/>
        <v>#DIV/0!</v>
      </c>
      <c r="G212" s="95" t="e">
        <f t="shared" si="85"/>
        <v>#DIV/0!</v>
      </c>
      <c r="H212" s="95" t="e">
        <f t="shared" si="85"/>
        <v>#DIV/0!</v>
      </c>
      <c r="I212" s="43"/>
      <c r="J212" s="42"/>
    </row>
    <row r="213" spans="2:10" ht="20.100000000000001" customHeight="1">
      <c r="B213" s="93" t="s">
        <v>8</v>
      </c>
      <c r="C213" s="100">
        <f t="shared" ref="C213:H213" si="86">C117</f>
        <v>0</v>
      </c>
      <c r="D213" s="100">
        <f t="shared" si="86"/>
        <v>0</v>
      </c>
      <c r="E213" s="100">
        <f t="shared" si="86"/>
        <v>0</v>
      </c>
      <c r="F213" s="100">
        <f t="shared" si="86"/>
        <v>0</v>
      </c>
      <c r="G213" s="100">
        <f t="shared" si="86"/>
        <v>0</v>
      </c>
      <c r="H213" s="100">
        <f t="shared" si="86"/>
        <v>0</v>
      </c>
      <c r="I213" s="41"/>
      <c r="J213" s="42"/>
    </row>
    <row r="214" spans="2:10" ht="20.100000000000001" customHeight="1">
      <c r="B214" s="99" t="s">
        <v>7</v>
      </c>
      <c r="C214" s="82" t="e">
        <f t="shared" ref="C214:H214" si="87">C213/C12</f>
        <v>#DIV/0!</v>
      </c>
      <c r="D214" s="82" t="e">
        <f t="shared" si="87"/>
        <v>#DIV/0!</v>
      </c>
      <c r="E214" s="82" t="e">
        <f t="shared" si="87"/>
        <v>#DIV/0!</v>
      </c>
      <c r="F214" s="82" t="e">
        <f t="shared" si="87"/>
        <v>#DIV/0!</v>
      </c>
      <c r="G214" s="82" t="e">
        <f t="shared" si="87"/>
        <v>#DIV/0!</v>
      </c>
      <c r="H214" s="82" t="e">
        <f t="shared" si="87"/>
        <v>#DIV/0!</v>
      </c>
      <c r="I214" s="41"/>
      <c r="J214" s="42"/>
    </row>
    <row r="215" spans="2:10" ht="20.100000000000001" customHeight="1">
      <c r="B215" s="98" t="s">
        <v>11</v>
      </c>
      <c r="C215" s="97">
        <f t="shared" ref="C215:H215" si="88">C84</f>
        <v>0</v>
      </c>
      <c r="D215" s="97">
        <f t="shared" si="88"/>
        <v>0</v>
      </c>
      <c r="E215" s="97">
        <f t="shared" si="88"/>
        <v>0</v>
      </c>
      <c r="F215" s="97">
        <f t="shared" si="88"/>
        <v>0</v>
      </c>
      <c r="G215" s="97">
        <f t="shared" si="88"/>
        <v>0</v>
      </c>
      <c r="H215" s="97">
        <f t="shared" si="88"/>
        <v>0</v>
      </c>
      <c r="I215" s="41"/>
      <c r="J215" s="42"/>
    </row>
    <row r="216" spans="2:10" ht="20.100000000000001" customHeight="1" thickBot="1">
      <c r="B216" s="71" t="s">
        <v>7</v>
      </c>
      <c r="C216" s="95" t="e">
        <f t="shared" ref="C216:H216" si="89">C215/C12</f>
        <v>#DIV/0!</v>
      </c>
      <c r="D216" s="95" t="e">
        <f t="shared" si="89"/>
        <v>#DIV/0!</v>
      </c>
      <c r="E216" s="95" t="e">
        <f t="shared" si="89"/>
        <v>#DIV/0!</v>
      </c>
      <c r="F216" s="95" t="e">
        <f t="shared" si="89"/>
        <v>#DIV/0!</v>
      </c>
      <c r="G216" s="95" t="e">
        <f t="shared" si="89"/>
        <v>#DIV/0!</v>
      </c>
      <c r="H216" s="95" t="e">
        <f t="shared" si="89"/>
        <v>#DIV/0!</v>
      </c>
      <c r="I216" s="41"/>
      <c r="J216" s="42"/>
    </row>
    <row r="217" spans="2:10" ht="20.100000000000001" customHeight="1">
      <c r="B217" s="84" t="s">
        <v>16</v>
      </c>
      <c r="C217" s="94">
        <f t="shared" ref="C217:H217" si="90">C85</f>
        <v>0</v>
      </c>
      <c r="D217" s="94">
        <f t="shared" si="90"/>
        <v>0</v>
      </c>
      <c r="E217" s="94">
        <f t="shared" si="90"/>
        <v>0</v>
      </c>
      <c r="F217" s="94">
        <f t="shared" si="90"/>
        <v>0</v>
      </c>
      <c r="G217" s="94">
        <f t="shared" si="90"/>
        <v>0</v>
      </c>
      <c r="H217" s="94">
        <f t="shared" si="90"/>
        <v>0</v>
      </c>
      <c r="I217" s="41"/>
      <c r="J217" s="42"/>
    </row>
    <row r="218" spans="2:10" ht="20.100000000000001" customHeight="1">
      <c r="B218" s="93" t="s">
        <v>52</v>
      </c>
      <c r="C218" s="91">
        <f t="shared" ref="C218:H218" si="91">+C86+C87+C91+C92</f>
        <v>0</v>
      </c>
      <c r="D218" s="91">
        <f t="shared" si="91"/>
        <v>0</v>
      </c>
      <c r="E218" s="91">
        <f t="shared" si="91"/>
        <v>0</v>
      </c>
      <c r="F218" s="91">
        <f t="shared" si="91"/>
        <v>0</v>
      </c>
      <c r="G218" s="91">
        <f t="shared" si="91"/>
        <v>0</v>
      </c>
      <c r="H218" s="91">
        <f t="shared" si="91"/>
        <v>0</v>
      </c>
      <c r="I218" s="41"/>
      <c r="J218" s="42"/>
    </row>
    <row r="219" spans="2:10" ht="20.100000000000001" customHeight="1">
      <c r="B219" s="92" t="s">
        <v>51</v>
      </c>
      <c r="C219" s="91"/>
      <c r="D219" s="91">
        <f t="shared" ref="D219:H219" si="92">D79+D80+D81+D97+D101+D106+D110+D115-D113</f>
        <v>0</v>
      </c>
      <c r="E219" s="91">
        <f t="shared" si="92"/>
        <v>0</v>
      </c>
      <c r="F219" s="91">
        <f t="shared" si="92"/>
        <v>0</v>
      </c>
      <c r="G219" s="91">
        <f t="shared" si="92"/>
        <v>0</v>
      </c>
      <c r="H219" s="91">
        <f t="shared" si="92"/>
        <v>0</v>
      </c>
      <c r="I219" s="41"/>
      <c r="J219" s="42"/>
    </row>
    <row r="220" spans="2:10" ht="20.100000000000001" customHeight="1" thickBot="1">
      <c r="B220" s="71" t="s">
        <v>7</v>
      </c>
      <c r="C220" s="90" t="e">
        <f t="shared" ref="C220:H220" si="93">(C217+C218+C219)/C12</f>
        <v>#DIV/0!</v>
      </c>
      <c r="D220" s="90" t="e">
        <f t="shared" si="93"/>
        <v>#DIV/0!</v>
      </c>
      <c r="E220" s="90" t="e">
        <f t="shared" si="93"/>
        <v>#DIV/0!</v>
      </c>
      <c r="F220" s="90" t="e">
        <f t="shared" si="93"/>
        <v>#DIV/0!</v>
      </c>
      <c r="G220" s="90" t="e">
        <f t="shared" si="93"/>
        <v>#DIV/0!</v>
      </c>
      <c r="H220" s="90" t="e">
        <f t="shared" si="93"/>
        <v>#DIV/0!</v>
      </c>
      <c r="I220" s="41"/>
      <c r="J220" s="42"/>
    </row>
    <row r="221" spans="2:10" ht="20.100000000000001" customHeight="1">
      <c r="B221" s="89" t="s">
        <v>50</v>
      </c>
      <c r="C221" s="88" t="e">
        <f>SUM(C207:C220)-C208-C210-C212-C214-C216-C220</f>
        <v>#DIV/0!</v>
      </c>
      <c r="D221" s="88" t="e">
        <f t="shared" ref="D221:H221" si="94">SUM(D207:D220)-D208-D210-D212-D214-D216-D220</f>
        <v>#N/A</v>
      </c>
      <c r="E221" s="88" t="e">
        <f t="shared" si="94"/>
        <v>#N/A</v>
      </c>
      <c r="F221" s="88" t="e">
        <f t="shared" si="94"/>
        <v>#N/A</v>
      </c>
      <c r="G221" s="88" t="e">
        <f t="shared" si="94"/>
        <v>#N/A</v>
      </c>
      <c r="H221" s="88" t="e">
        <f t="shared" si="94"/>
        <v>#N/A</v>
      </c>
      <c r="I221" s="44"/>
      <c r="J221" s="45"/>
    </row>
    <row r="222" spans="2:10" ht="20.100000000000001" customHeight="1" thickBot="1">
      <c r="B222" s="71" t="s">
        <v>5</v>
      </c>
      <c r="C222" s="70" t="e">
        <f t="shared" ref="C222:H222" si="95">C221/C12</f>
        <v>#DIV/0!</v>
      </c>
      <c r="D222" s="70" t="e">
        <f t="shared" si="95"/>
        <v>#N/A</v>
      </c>
      <c r="E222" s="70" t="e">
        <f t="shared" si="95"/>
        <v>#N/A</v>
      </c>
      <c r="F222" s="70" t="e">
        <f t="shared" si="95"/>
        <v>#N/A</v>
      </c>
      <c r="G222" s="70" t="e">
        <f t="shared" si="95"/>
        <v>#N/A</v>
      </c>
      <c r="H222" s="70" t="e">
        <f t="shared" si="95"/>
        <v>#N/A</v>
      </c>
      <c r="I222" s="46">
        <v>15571</v>
      </c>
      <c r="J222" s="47">
        <v>20805</v>
      </c>
    </row>
    <row r="223" spans="2:10" ht="20.100000000000001" customHeight="1" thickBot="1">
      <c r="B223" s="87"/>
      <c r="C223" s="87"/>
      <c r="D223" s="87"/>
      <c r="E223" s="87"/>
      <c r="F223" s="87"/>
      <c r="G223" s="87"/>
      <c r="H223" s="87"/>
      <c r="I223" s="48"/>
      <c r="J223" s="49"/>
    </row>
    <row r="224" spans="2:10" ht="20.100000000000001" customHeight="1" thickBot="1">
      <c r="B224" s="86" t="s">
        <v>13</v>
      </c>
      <c r="C224" s="85"/>
      <c r="D224" s="85"/>
      <c r="E224" s="85"/>
      <c r="F224" s="85"/>
      <c r="G224" s="85"/>
      <c r="H224" s="85"/>
      <c r="I224" s="50"/>
      <c r="J224" s="50"/>
    </row>
    <row r="225" spans="1:10" ht="20.100000000000001" customHeight="1">
      <c r="B225" s="84" t="s">
        <v>49</v>
      </c>
      <c r="C225" s="83">
        <f t="shared" ref="C225:H225" si="96">C158+C160+C169+C188-C113</f>
        <v>0</v>
      </c>
      <c r="D225" s="83">
        <f t="shared" si="96"/>
        <v>0</v>
      </c>
      <c r="E225" s="83">
        <f t="shared" si="96"/>
        <v>0</v>
      </c>
      <c r="F225" s="83">
        <f t="shared" si="96"/>
        <v>0</v>
      </c>
      <c r="G225" s="83">
        <f t="shared" si="96"/>
        <v>0</v>
      </c>
      <c r="H225" s="83">
        <f t="shared" si="96"/>
        <v>0</v>
      </c>
      <c r="I225" s="41"/>
      <c r="J225" s="42"/>
    </row>
    <row r="226" spans="1:10" ht="20.100000000000001" customHeight="1" thickBot="1">
      <c r="B226" s="71" t="s">
        <v>5</v>
      </c>
      <c r="C226" s="82" t="e">
        <f t="shared" ref="C226:H226" si="97">C225/C12</f>
        <v>#DIV/0!</v>
      </c>
      <c r="D226" s="82" t="e">
        <f t="shared" si="97"/>
        <v>#DIV/0!</v>
      </c>
      <c r="E226" s="82" t="e">
        <f t="shared" si="97"/>
        <v>#DIV/0!</v>
      </c>
      <c r="F226" s="82" t="e">
        <f t="shared" si="97"/>
        <v>#DIV/0!</v>
      </c>
      <c r="G226" s="82" t="e">
        <f t="shared" si="97"/>
        <v>#DIV/0!</v>
      </c>
      <c r="H226" s="82" t="e">
        <f t="shared" si="97"/>
        <v>#DIV/0!</v>
      </c>
      <c r="I226" s="41">
        <v>11666</v>
      </c>
      <c r="J226" s="42">
        <v>15025</v>
      </c>
    </row>
    <row r="227" spans="1:10" ht="20.100000000000001" customHeight="1">
      <c r="B227" s="81" t="s">
        <v>48</v>
      </c>
      <c r="C227" s="80">
        <f>C193-C158-C160-C169-C188</f>
        <v>0</v>
      </c>
      <c r="D227" s="80">
        <f t="shared" ref="D227:H227" si="98">D193-D158-D160-D169-D188</f>
        <v>0</v>
      </c>
      <c r="E227" s="80">
        <f t="shared" si="98"/>
        <v>0</v>
      </c>
      <c r="F227" s="80">
        <f t="shared" si="98"/>
        <v>0</v>
      </c>
      <c r="G227" s="80">
        <f t="shared" si="98"/>
        <v>0</v>
      </c>
      <c r="H227" s="80">
        <f t="shared" si="98"/>
        <v>0</v>
      </c>
      <c r="I227" s="41"/>
      <c r="J227" s="42"/>
    </row>
    <row r="228" spans="1:10" ht="20.100000000000001" customHeight="1" thickBot="1">
      <c r="B228" s="79" t="s">
        <v>5</v>
      </c>
      <c r="C228" s="78" t="e">
        <f t="shared" ref="C228:H228" si="99">C227/C12</f>
        <v>#DIV/0!</v>
      </c>
      <c r="D228" s="78" t="e">
        <f t="shared" si="99"/>
        <v>#DIV/0!</v>
      </c>
      <c r="E228" s="78" t="e">
        <f t="shared" si="99"/>
        <v>#DIV/0!</v>
      </c>
      <c r="F228" s="78" t="e">
        <f t="shared" si="99"/>
        <v>#DIV/0!</v>
      </c>
      <c r="G228" s="78" t="e">
        <f t="shared" si="99"/>
        <v>#DIV/0!</v>
      </c>
      <c r="H228" s="78" t="e">
        <f t="shared" si="99"/>
        <v>#DIV/0!</v>
      </c>
      <c r="I228" s="46">
        <v>3053</v>
      </c>
      <c r="J228" s="47">
        <v>5144</v>
      </c>
    </row>
    <row r="229" spans="1:10" ht="20.100000000000001" customHeight="1">
      <c r="B229" s="77" t="s">
        <v>47</v>
      </c>
      <c r="C229" s="76">
        <f t="shared" ref="C229:H229" si="100">SUM(C225+C227)</f>
        <v>0</v>
      </c>
      <c r="D229" s="76">
        <f t="shared" si="100"/>
        <v>0</v>
      </c>
      <c r="E229" s="76">
        <f t="shared" si="100"/>
        <v>0</v>
      </c>
      <c r="F229" s="76">
        <f t="shared" si="100"/>
        <v>0</v>
      </c>
      <c r="G229" s="76">
        <f t="shared" si="100"/>
        <v>0</v>
      </c>
      <c r="H229" s="76">
        <f t="shared" si="100"/>
        <v>0</v>
      </c>
      <c r="I229" s="44"/>
      <c r="J229" s="45"/>
    </row>
    <row r="230" spans="1:10" ht="20.100000000000001" customHeight="1" thickBot="1">
      <c r="B230" s="75" t="s">
        <v>5</v>
      </c>
      <c r="C230" s="74" t="e">
        <f t="shared" ref="C230:H230" si="101">C229/C12</f>
        <v>#DIV/0!</v>
      </c>
      <c r="D230" s="74" t="e">
        <f t="shared" si="101"/>
        <v>#DIV/0!</v>
      </c>
      <c r="E230" s="74" t="e">
        <f t="shared" si="101"/>
        <v>#DIV/0!</v>
      </c>
      <c r="F230" s="74" t="e">
        <f t="shared" si="101"/>
        <v>#DIV/0!</v>
      </c>
      <c r="G230" s="74" t="e">
        <f t="shared" si="101"/>
        <v>#DIV/0!</v>
      </c>
      <c r="H230" s="74" t="e">
        <f t="shared" si="101"/>
        <v>#DIV/0!</v>
      </c>
      <c r="I230" s="46">
        <v>15396</v>
      </c>
      <c r="J230" s="47">
        <v>19557</v>
      </c>
    </row>
    <row r="231" spans="1:10" ht="20.100000000000001" customHeight="1">
      <c r="B231" s="73" t="s">
        <v>14</v>
      </c>
      <c r="C231" s="72" t="e">
        <f t="shared" ref="C231:H231" si="102">C221-C229</f>
        <v>#DIV/0!</v>
      </c>
      <c r="D231" s="72" t="e">
        <f t="shared" si="102"/>
        <v>#N/A</v>
      </c>
      <c r="E231" s="72" t="e">
        <f t="shared" si="102"/>
        <v>#N/A</v>
      </c>
      <c r="F231" s="72" t="e">
        <f t="shared" si="102"/>
        <v>#N/A</v>
      </c>
      <c r="G231" s="72" t="e">
        <f t="shared" si="102"/>
        <v>#N/A</v>
      </c>
      <c r="H231" s="72" t="e">
        <f t="shared" si="102"/>
        <v>#N/A</v>
      </c>
      <c r="I231" s="53"/>
    </row>
    <row r="232" spans="1:10" ht="20.100000000000001" customHeight="1" thickBot="1">
      <c r="B232" s="71" t="s">
        <v>5</v>
      </c>
      <c r="C232" s="70" t="e">
        <f t="shared" ref="C232:H232" si="103">C231/C12</f>
        <v>#DIV/0!</v>
      </c>
      <c r="D232" s="70" t="e">
        <f t="shared" si="103"/>
        <v>#N/A</v>
      </c>
      <c r="E232" s="70" t="e">
        <f t="shared" si="103"/>
        <v>#N/A</v>
      </c>
      <c r="F232" s="70" t="e">
        <f t="shared" si="103"/>
        <v>#N/A</v>
      </c>
      <c r="G232" s="70" t="e">
        <f t="shared" si="103"/>
        <v>#N/A</v>
      </c>
      <c r="H232" s="70" t="e">
        <f t="shared" si="103"/>
        <v>#N/A</v>
      </c>
      <c r="I232" s="53"/>
    </row>
    <row r="233" spans="1:10" ht="15">
      <c r="A233" s="51" t="s">
        <v>257</v>
      </c>
      <c r="B233" s="69"/>
      <c r="C233" s="68" t="e">
        <f>C208+C210+C212+C214+C216+C220-C226-C228</f>
        <v>#DIV/0!</v>
      </c>
      <c r="D233" s="68" t="e">
        <f t="shared" ref="D233:H233" si="104">D208+D210+D212+D214+D216+D220-D226-D228</f>
        <v>#N/A</v>
      </c>
      <c r="E233" s="68" t="e">
        <f t="shared" si="104"/>
        <v>#N/A</v>
      </c>
      <c r="F233" s="68" t="e">
        <f t="shared" si="104"/>
        <v>#N/A</v>
      </c>
      <c r="G233" s="68" t="e">
        <f t="shared" si="104"/>
        <v>#N/A</v>
      </c>
      <c r="H233" s="68" t="e">
        <f t="shared" si="104"/>
        <v>#N/A</v>
      </c>
      <c r="I233" s="53"/>
    </row>
    <row r="234" spans="1:10" ht="15">
      <c r="C234" s="68" t="e">
        <f t="shared" ref="C234:H234" si="105">C9/C12</f>
        <v>#DIV/0!</v>
      </c>
      <c r="D234" s="68" t="e">
        <f t="shared" si="105"/>
        <v>#N/A</v>
      </c>
      <c r="E234" s="68" t="e">
        <f t="shared" si="105"/>
        <v>#N/A</v>
      </c>
      <c r="F234" s="68" t="e">
        <f t="shared" si="105"/>
        <v>#N/A</v>
      </c>
      <c r="G234" s="68" t="e">
        <f t="shared" si="105"/>
        <v>#N/A</v>
      </c>
      <c r="H234" s="68" t="e">
        <f t="shared" si="105"/>
        <v>#N/A</v>
      </c>
      <c r="I234" s="53"/>
    </row>
    <row r="235" spans="1:10" ht="15">
      <c r="I235" s="53"/>
    </row>
    <row r="236" spans="1:10" ht="15.75" thickBot="1">
      <c r="I236" s="53"/>
    </row>
    <row r="237" spans="1:10" ht="21.95" customHeight="1" thickBot="1">
      <c r="C237" s="689" t="s">
        <v>261</v>
      </c>
      <c r="D237" s="690"/>
      <c r="E237" s="690"/>
      <c r="F237" s="690"/>
      <c r="G237" s="690"/>
      <c r="H237" s="691"/>
      <c r="I237" s="53"/>
    </row>
    <row r="238" spans="1:10" ht="20.100000000000001" customHeight="1">
      <c r="B238" s="67" t="s">
        <v>41</v>
      </c>
      <c r="C238" s="65" t="str">
        <f t="shared" ref="C238:H239" si="106">C204</f>
        <v>PREVI</v>
      </c>
      <c r="D238" s="65">
        <f t="shared" si="106"/>
        <v>0</v>
      </c>
      <c r="E238" s="65">
        <f t="shared" si="106"/>
        <v>0</v>
      </c>
      <c r="F238" s="65">
        <f t="shared" si="106"/>
        <v>0</v>
      </c>
      <c r="G238" s="65">
        <f t="shared" si="106"/>
        <v>0</v>
      </c>
      <c r="H238" s="65">
        <f t="shared" si="106"/>
        <v>0</v>
      </c>
      <c r="I238" s="53"/>
    </row>
    <row r="239" spans="1:10" ht="20.100000000000001" customHeight="1" thickBot="1">
      <c r="B239" s="66"/>
      <c r="C239" s="65">
        <f t="shared" si="106"/>
        <v>0</v>
      </c>
      <c r="D239" s="65">
        <f t="shared" si="106"/>
        <v>0</v>
      </c>
      <c r="E239" s="65">
        <f t="shared" si="106"/>
        <v>0</v>
      </c>
      <c r="F239" s="65">
        <f t="shared" si="106"/>
        <v>0</v>
      </c>
      <c r="G239" s="65">
        <f t="shared" si="106"/>
        <v>0</v>
      </c>
      <c r="H239" s="65">
        <f t="shared" si="106"/>
        <v>0</v>
      </c>
      <c r="I239" s="53"/>
    </row>
    <row r="240" spans="1:10" ht="20.100000000000001" customHeight="1">
      <c r="B240" s="64" t="str">
        <f t="shared" ref="B240:H240" si="107">B12</f>
        <v>Nbre. de places agréées</v>
      </c>
      <c r="C240" s="64"/>
      <c r="D240" s="64">
        <f t="shared" si="107"/>
        <v>0</v>
      </c>
      <c r="E240" s="64">
        <f t="shared" si="107"/>
        <v>0</v>
      </c>
      <c r="F240" s="64">
        <f t="shared" si="107"/>
        <v>0</v>
      </c>
      <c r="G240" s="64">
        <f t="shared" si="107"/>
        <v>0</v>
      </c>
      <c r="H240" s="64">
        <f t="shared" si="107"/>
        <v>0</v>
      </c>
      <c r="I240" s="53"/>
    </row>
    <row r="241" spans="2:9" ht="20.100000000000001" customHeight="1">
      <c r="B241" s="58" t="str">
        <f t="shared" ref="B241:H242" si="108">B16</f>
        <v>Nbre. jours d'accueil</v>
      </c>
      <c r="C241" s="58"/>
      <c r="D241" s="58">
        <f t="shared" si="108"/>
        <v>0</v>
      </c>
      <c r="E241" s="58">
        <f t="shared" si="108"/>
        <v>0</v>
      </c>
      <c r="F241" s="58">
        <f t="shared" si="108"/>
        <v>0</v>
      </c>
      <c r="G241" s="58">
        <f t="shared" si="108"/>
        <v>0</v>
      </c>
      <c r="H241" s="58">
        <f t="shared" si="108"/>
        <v>0</v>
      </c>
      <c r="I241" s="53"/>
    </row>
    <row r="242" spans="2:9" ht="20.100000000000001" customHeight="1">
      <c r="B242" s="60" t="str">
        <f t="shared" si="108"/>
        <v>Nbre.heures ouverture par jour (Amplitude horaire)</v>
      </c>
      <c r="C242" s="60"/>
      <c r="D242" s="60">
        <f t="shared" si="108"/>
        <v>0</v>
      </c>
      <c r="E242" s="60">
        <f t="shared" si="108"/>
        <v>0</v>
      </c>
      <c r="F242" s="60">
        <f t="shared" si="108"/>
        <v>0</v>
      </c>
      <c r="G242" s="60">
        <f t="shared" si="108"/>
        <v>0</v>
      </c>
      <c r="H242" s="60">
        <f t="shared" si="108"/>
        <v>0</v>
      </c>
      <c r="I242" s="53"/>
    </row>
    <row r="243" spans="2:9" ht="20.100000000000001" customHeight="1">
      <c r="B243" s="58" t="str">
        <f t="shared" ref="B243:H245" si="109">B25</f>
        <v>Capacité théorique (Nombre d'heures Théoriques (H.Théo.))</v>
      </c>
      <c r="C243" s="59"/>
      <c r="D243" s="59">
        <f t="shared" si="109"/>
        <v>0</v>
      </c>
      <c r="E243" s="59">
        <f t="shared" si="109"/>
        <v>0</v>
      </c>
      <c r="F243" s="59">
        <f t="shared" si="109"/>
        <v>0</v>
      </c>
      <c r="G243" s="59">
        <f t="shared" si="109"/>
        <v>0</v>
      </c>
      <c r="H243" s="59">
        <f t="shared" si="109"/>
        <v>0</v>
      </c>
      <c r="I243" s="53"/>
    </row>
    <row r="244" spans="2:9" ht="20.100000000000001" customHeight="1">
      <c r="B244" s="57" t="str">
        <f t="shared" si="109"/>
        <v>Nombre d'heures facturées (H.Fact.)</v>
      </c>
      <c r="C244" s="63"/>
      <c r="D244" s="63">
        <f t="shared" si="109"/>
        <v>0</v>
      </c>
      <c r="E244" s="63">
        <f t="shared" si="109"/>
        <v>0</v>
      </c>
      <c r="F244" s="63">
        <f t="shared" si="109"/>
        <v>0</v>
      </c>
      <c r="G244" s="63">
        <f t="shared" si="109"/>
        <v>0</v>
      </c>
      <c r="H244" s="63">
        <f t="shared" si="109"/>
        <v>0</v>
      </c>
      <c r="I244" s="53"/>
    </row>
    <row r="245" spans="2:9" ht="20.100000000000001" customHeight="1">
      <c r="B245" s="62" t="str">
        <f t="shared" si="109"/>
        <v>Nbre. heures facturées en moyenne par agrément par jour</v>
      </c>
      <c r="C245" s="61"/>
      <c r="D245" s="61" t="e">
        <f t="shared" si="109"/>
        <v>#DIV/0!</v>
      </c>
      <c r="E245" s="61" t="e">
        <f t="shared" si="109"/>
        <v>#DIV/0!</v>
      </c>
      <c r="F245" s="61" t="e">
        <f t="shared" si="109"/>
        <v>#DIV/0!</v>
      </c>
      <c r="G245" s="61" t="e">
        <f t="shared" si="109"/>
        <v>#DIV/0!</v>
      </c>
      <c r="H245" s="61" t="e">
        <f t="shared" si="109"/>
        <v>#DIV/0!</v>
      </c>
      <c r="I245" s="53"/>
    </row>
    <row r="246" spans="2:9" ht="20.100000000000001" customHeight="1">
      <c r="B246" s="60" t="str">
        <f t="shared" ref="B246:H249" si="110">B30</f>
        <v>Taux d'occupation financier (H.Fact./H.Théo.)</v>
      </c>
      <c r="C246" s="32"/>
      <c r="D246" s="32">
        <f t="shared" si="110"/>
        <v>0</v>
      </c>
      <c r="E246" s="32">
        <f t="shared" si="110"/>
        <v>0</v>
      </c>
      <c r="F246" s="32">
        <f t="shared" si="110"/>
        <v>0</v>
      </c>
      <c r="G246" s="32">
        <f t="shared" si="110"/>
        <v>0</v>
      </c>
      <c r="H246" s="32">
        <f t="shared" si="110"/>
        <v>0</v>
      </c>
      <c r="I246" s="53"/>
    </row>
    <row r="247" spans="2:9" ht="20.100000000000001" customHeight="1">
      <c r="B247" s="58" t="str">
        <f t="shared" si="110"/>
        <v>Nombre d'heures de présence réelle (H.Réelles)</v>
      </c>
      <c r="C247" s="59"/>
      <c r="D247" s="59">
        <f t="shared" si="110"/>
        <v>0</v>
      </c>
      <c r="E247" s="59">
        <f t="shared" si="110"/>
        <v>0</v>
      </c>
      <c r="F247" s="59">
        <f t="shared" si="110"/>
        <v>0</v>
      </c>
      <c r="G247" s="59">
        <f t="shared" si="110"/>
        <v>0</v>
      </c>
      <c r="H247" s="59">
        <f t="shared" si="110"/>
        <v>0</v>
      </c>
      <c r="I247" s="53"/>
    </row>
    <row r="248" spans="2:9" ht="20.100000000000001" customHeight="1">
      <c r="B248" s="10" t="str">
        <f t="shared" si="110"/>
        <v>Taux de facturation (H.Fact./H.Réelles)</v>
      </c>
      <c r="C248" s="34"/>
      <c r="D248" s="34">
        <f t="shared" si="110"/>
        <v>0</v>
      </c>
      <c r="E248" s="34">
        <f t="shared" si="110"/>
        <v>0</v>
      </c>
      <c r="F248" s="34">
        <f t="shared" si="110"/>
        <v>0</v>
      </c>
      <c r="G248" s="34">
        <f t="shared" si="110"/>
        <v>0</v>
      </c>
      <c r="H248" s="34">
        <f t="shared" si="110"/>
        <v>0</v>
      </c>
      <c r="I248" s="53"/>
    </row>
    <row r="249" spans="2:9" ht="20.100000000000001" customHeight="1">
      <c r="B249" s="58" t="str">
        <f t="shared" si="110"/>
        <v>Taux d'occupation réel (H.Réelles/H.Théo)</v>
      </c>
      <c r="C249" s="33"/>
      <c r="D249" s="33">
        <f t="shared" si="110"/>
        <v>0</v>
      </c>
      <c r="E249" s="33">
        <f t="shared" si="110"/>
        <v>0</v>
      </c>
      <c r="F249" s="33">
        <f t="shared" si="110"/>
        <v>0</v>
      </c>
      <c r="G249" s="33">
        <f t="shared" si="110"/>
        <v>0</v>
      </c>
      <c r="H249" s="33">
        <f t="shared" si="110"/>
        <v>0</v>
      </c>
    </row>
    <row r="250" spans="2:9" ht="20.100000000000001" customHeight="1">
      <c r="B250" s="57" t="str">
        <f t="shared" ref="B250:H250" si="111">B35</f>
        <v>Prix de Revient Horaire (Total des charges divisé par H.Réelles)</v>
      </c>
      <c r="C250" s="56">
        <f t="shared" si="111"/>
        <v>0</v>
      </c>
      <c r="D250" s="56">
        <f t="shared" si="111"/>
        <v>0</v>
      </c>
      <c r="E250" s="56">
        <f t="shared" si="111"/>
        <v>0</v>
      </c>
      <c r="F250" s="56">
        <f t="shared" si="111"/>
        <v>0</v>
      </c>
      <c r="G250" s="56">
        <f t="shared" si="111"/>
        <v>0</v>
      </c>
      <c r="H250" s="56">
        <f t="shared" si="111"/>
        <v>0</v>
      </c>
    </row>
    <row r="251" spans="2:9" ht="20.100000000000001" customHeight="1" thickBot="1">
      <c r="B251" s="55" t="s">
        <v>40</v>
      </c>
      <c r="C251" s="54" t="e">
        <f t="shared" ref="C251:H251" si="112">C36</f>
        <v>#N/A</v>
      </c>
      <c r="D251" s="54" t="e">
        <f t="shared" si="112"/>
        <v>#N/A</v>
      </c>
      <c r="E251" s="54" t="e">
        <f t="shared" si="112"/>
        <v>#N/A</v>
      </c>
      <c r="F251" s="54" t="e">
        <f t="shared" si="112"/>
        <v>#N/A</v>
      </c>
      <c r="G251" s="54" t="e">
        <f t="shared" si="112"/>
        <v>#N/A</v>
      </c>
      <c r="H251" s="54" t="e">
        <f t="shared" si="112"/>
        <v>#N/A</v>
      </c>
    </row>
  </sheetData>
  <sheetProtection formatCells="0" formatColumns="0" formatRows="0"/>
  <mergeCells count="10">
    <mergeCell ref="I201:J203"/>
    <mergeCell ref="C1:F1"/>
    <mergeCell ref="C203:H203"/>
    <mergeCell ref="C237:H237"/>
    <mergeCell ref="A18:A24"/>
    <mergeCell ref="B11:H11"/>
    <mergeCell ref="A5:A8"/>
    <mergeCell ref="A62:A63"/>
    <mergeCell ref="B72:H72"/>
    <mergeCell ref="B122:H122"/>
  </mergeCells>
  <conditionalFormatting sqref="C6:E7 G6:H7 C7:H7">
    <cfRule type="containsText" dxfId="7" priority="19" operator="containsText" text="NON">
      <formula>NOT(ISERROR(SEARCH("NON",C6)))</formula>
    </cfRule>
    <cfRule type="containsText" dxfId="6" priority="20" operator="containsText" text="OUI">
      <formula>NOT(ISERROR(SEARCH("OUI",C6)))</formula>
    </cfRule>
  </conditionalFormatting>
  <conditionalFormatting sqref="C62:F62 H62">
    <cfRule type="containsText" dxfId="5" priority="7" operator="containsText" text="NON">
      <formula>NOT(ISERROR(SEARCH("NON",C62)))</formula>
    </cfRule>
    <cfRule type="containsText" dxfId="4" priority="8" operator="containsText" text="OUI">
      <formula>NOT(ISERROR(SEARCH("OUI",C62)))</formula>
    </cfRule>
  </conditionalFormatting>
  <conditionalFormatting sqref="F6:F7">
    <cfRule type="containsText" dxfId="3" priority="5" operator="containsText" text="NON">
      <formula>NOT(ISERROR(SEARCH("NON",F6)))</formula>
    </cfRule>
    <cfRule type="containsText" dxfId="2" priority="6" operator="containsText" text="OUI">
      <formula>NOT(ISERROR(SEARCH("OUI",F6)))</formula>
    </cfRule>
  </conditionalFormatting>
  <conditionalFormatting sqref="G62">
    <cfRule type="containsText" dxfId="1" priority="1" operator="containsText" text="NON">
      <formula>NOT(ISERROR(SEARCH("NON",G62)))</formula>
    </cfRule>
    <cfRule type="containsText" dxfId="0" priority="2" operator="containsText" text="OUI">
      <formula>NOT(ISERROR(SEARCH("OUI",G62)))</formula>
    </cfRule>
  </conditionalFormatting>
  <dataValidations count="1">
    <dataValidation type="list" allowBlank="1" showInputMessage="1" showErrorMessage="1" sqref="C6:H7 C62:H62">
      <formula1>$K$1:$K$2</formula1>
    </dataValidation>
  </dataValidations>
  <pageMargins left="0.78740157499999996" right="0.78740157499999996" top="0.97986111111111107" bottom="0.97986111111111107" header="0.51180555555555551" footer="0.51180555555555551"/>
  <pageSetup paperSize="9" scale="76" firstPageNumber="0" fitToHeight="2" orientation="portrait" horizontalDpi="300" verticalDpi="300"/>
  <headerFooter alignWithMargins="0"/>
  <rowBreaks count="1" manualBreakCount="1">
    <brk id="118" max="16383"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0-ACCUEIL &amp; PARAMETRES</vt:lpstr>
      <vt:lpstr>1-Equipe</vt:lpstr>
      <vt:lpstr>2-CR synthétique EAJE PSU</vt:lpstr>
      <vt:lpstr>3-CR détaillé EAJE PSU</vt:lpstr>
      <vt:lpstr>'2-CR synthétique EAJE PSU'!Zone_d_impression</vt:lpstr>
      <vt:lpstr>'3-CR détaillé EAJE PSU'!Zone_d_impression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WADOUDAH (CSS MAYOTTE)</dc:creator>
  <cp:lastModifiedBy>SAID HADIDJA (CSS MAYOTTE)</cp:lastModifiedBy>
  <cp:lastPrinted>2016-12-05T11:18:51Z</cp:lastPrinted>
  <dcterms:created xsi:type="dcterms:W3CDTF">2016-03-02T10:41:12Z</dcterms:created>
  <dcterms:modified xsi:type="dcterms:W3CDTF">2023-12-15T07:29:05Z</dcterms:modified>
</cp:coreProperties>
</file>